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dobyh\1\1\2024\ФІНПЛАНИ\2024\Звіт за 9 місяців 2024\"/>
    </mc:Choice>
  </mc:AlternateContent>
  <bookViews>
    <workbookView xWindow="0" yWindow="0" windowWidth="2370" windowHeight="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кап" sheetId="24" r:id="rId4"/>
    <sheet name="Розшифровка за джерелами" sheetId="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4">'Розшифровка за джерелами'!$4:$5</definedName>
    <definedName name="_xlnm.Print_Titles" localSheetId="3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фінпла'!$A$1:$H$100</definedName>
    <definedName name="_xlnm.Print_Area" localSheetId="1">'Розшифровка 1 до Формування'!$A$1:$H$104</definedName>
    <definedName name="_xlnm.Print_Area" localSheetId="2">'Розшифровка 2 до формування'!$A$1:$H$259</definedName>
    <definedName name="_xlnm.Print_Area" localSheetId="4">'Розшифровка за джерелами'!$A$1:$P$128</definedName>
    <definedName name="_xlnm.Print_Area" localSheetId="3">'Розшифровка кап'!$A$1:$G$188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H13" i="22" l="1"/>
  <c r="G13" i="22"/>
  <c r="E75" i="14" l="1"/>
  <c r="O109" i="9" l="1"/>
  <c r="O103" i="9"/>
  <c r="O97" i="9"/>
  <c r="O91" i="9"/>
  <c r="O85" i="9"/>
  <c r="O79" i="9"/>
  <c r="O73" i="9"/>
  <c r="O67" i="9"/>
  <c r="O61" i="9"/>
  <c r="O55" i="9"/>
  <c r="O49" i="9"/>
  <c r="N119" i="9"/>
  <c r="P119" i="9" s="1"/>
  <c r="N112" i="9"/>
  <c r="P112" i="9" s="1"/>
  <c r="N111" i="9"/>
  <c r="N110" i="9"/>
  <c r="P110" i="9" s="1"/>
  <c r="N109" i="9"/>
  <c r="P109" i="9" s="1"/>
  <c r="N108" i="9"/>
  <c r="P108" i="9" s="1"/>
  <c r="N107" i="9"/>
  <c r="P107" i="9" s="1"/>
  <c r="N106" i="9"/>
  <c r="P106" i="9" s="1"/>
  <c r="N105" i="9"/>
  <c r="N104" i="9"/>
  <c r="P104" i="9" s="1"/>
  <c r="N103" i="9"/>
  <c r="P103" i="9" s="1"/>
  <c r="N102" i="9"/>
  <c r="P102" i="9" s="1"/>
  <c r="N101" i="9"/>
  <c r="P101" i="9" s="1"/>
  <c r="N100" i="9"/>
  <c r="P100" i="9" s="1"/>
  <c r="N99" i="9"/>
  <c r="N98" i="9"/>
  <c r="P98" i="9" s="1"/>
  <c r="N97" i="9"/>
  <c r="P97" i="9" s="1"/>
  <c r="N96" i="9"/>
  <c r="P96" i="9" s="1"/>
  <c r="N95" i="9"/>
  <c r="P95" i="9" s="1"/>
  <c r="N94" i="9"/>
  <c r="P94" i="9" s="1"/>
  <c r="N93" i="9"/>
  <c r="N92" i="9"/>
  <c r="P92" i="9" s="1"/>
  <c r="N91" i="9"/>
  <c r="P91" i="9" s="1"/>
  <c r="N90" i="9"/>
  <c r="P90" i="9" s="1"/>
  <c r="N89" i="9"/>
  <c r="P89" i="9" s="1"/>
  <c r="N88" i="9"/>
  <c r="P88" i="9" s="1"/>
  <c r="N87" i="9"/>
  <c r="N86" i="9"/>
  <c r="P86" i="9" s="1"/>
  <c r="N85" i="9"/>
  <c r="P85" i="9" s="1"/>
  <c r="N84" i="9"/>
  <c r="P84" i="9" s="1"/>
  <c r="N83" i="9"/>
  <c r="P83" i="9" s="1"/>
  <c r="N82" i="9"/>
  <c r="P82" i="9" s="1"/>
  <c r="N81" i="9"/>
  <c r="N80" i="9"/>
  <c r="P80" i="9" s="1"/>
  <c r="N79" i="9"/>
  <c r="P79" i="9" s="1"/>
  <c r="N78" i="9"/>
  <c r="P78" i="9" s="1"/>
  <c r="N77" i="9"/>
  <c r="P77" i="9" s="1"/>
  <c r="N76" i="9"/>
  <c r="P76" i="9" s="1"/>
  <c r="N75" i="9"/>
  <c r="N74" i="9"/>
  <c r="P74" i="9" s="1"/>
  <c r="N73" i="9"/>
  <c r="P73" i="9" s="1"/>
  <c r="N72" i="9"/>
  <c r="P72" i="9" s="1"/>
  <c r="N71" i="9"/>
  <c r="P71" i="9" s="1"/>
  <c r="N70" i="9"/>
  <c r="P70" i="9" s="1"/>
  <c r="N69" i="9"/>
  <c r="N68" i="9"/>
  <c r="P68" i="9" s="1"/>
  <c r="N67" i="9"/>
  <c r="P67" i="9" s="1"/>
  <c r="N66" i="9"/>
  <c r="P66" i="9" s="1"/>
  <c r="N65" i="9"/>
  <c r="P65" i="9" s="1"/>
  <c r="N64" i="9"/>
  <c r="P64" i="9" s="1"/>
  <c r="N63" i="9"/>
  <c r="N62" i="9"/>
  <c r="P62" i="9" s="1"/>
  <c r="N61" i="9"/>
  <c r="P61" i="9" s="1"/>
  <c r="N60" i="9"/>
  <c r="P60" i="9" s="1"/>
  <c r="N59" i="9"/>
  <c r="P59" i="9" s="1"/>
  <c r="N58" i="9"/>
  <c r="P58" i="9" s="1"/>
  <c r="N57" i="9"/>
  <c r="N56" i="9"/>
  <c r="P56" i="9" s="1"/>
  <c r="N55" i="9"/>
  <c r="P55" i="9" s="1"/>
  <c r="N54" i="9"/>
  <c r="P54" i="9" s="1"/>
  <c r="N53" i="9"/>
  <c r="P53" i="9" s="1"/>
  <c r="N52" i="9"/>
  <c r="P52" i="9" s="1"/>
  <c r="N51" i="9"/>
  <c r="N50" i="9"/>
  <c r="P50" i="9" s="1"/>
  <c r="N49" i="9"/>
  <c r="P49" i="9" s="1"/>
  <c r="N48" i="9"/>
  <c r="P48" i="9" s="1"/>
  <c r="N47" i="9"/>
  <c r="P47" i="9" s="1"/>
  <c r="N46" i="9"/>
  <c r="P46" i="9" s="1"/>
  <c r="N45" i="9"/>
  <c r="N44" i="9"/>
  <c r="P44" i="9" s="1"/>
  <c r="N43" i="9"/>
  <c r="P43" i="9" s="1"/>
  <c r="N41" i="9"/>
  <c r="P41" i="9" s="1"/>
  <c r="N40" i="9"/>
  <c r="P40" i="9" s="1"/>
  <c r="N39" i="9"/>
  <c r="O39" i="9" s="1"/>
  <c r="N38" i="9"/>
  <c r="P38" i="9" s="1"/>
  <c r="N37" i="9"/>
  <c r="P37" i="9" s="1"/>
  <c r="N36" i="9"/>
  <c r="P36" i="9" s="1"/>
  <c r="N35" i="9"/>
  <c r="P35" i="9" s="1"/>
  <c r="N34" i="9"/>
  <c r="P34" i="9" s="1"/>
  <c r="N33" i="9"/>
  <c r="O33" i="9" s="1"/>
  <c r="N32" i="9"/>
  <c r="P32" i="9" s="1"/>
  <c r="N31" i="9"/>
  <c r="P31" i="9" s="1"/>
  <c r="N30" i="9"/>
  <c r="P30" i="9" s="1"/>
  <c r="N29" i="9"/>
  <c r="P29" i="9" s="1"/>
  <c r="N28" i="9"/>
  <c r="P28" i="9" s="1"/>
  <c r="N27" i="9"/>
  <c r="O27" i="9" s="1"/>
  <c r="N26" i="9"/>
  <c r="P26" i="9" s="1"/>
  <c r="N25" i="9"/>
  <c r="P25" i="9" s="1"/>
  <c r="N24" i="9"/>
  <c r="P24" i="9" s="1"/>
  <c r="N23" i="9"/>
  <c r="P23" i="9" s="1"/>
  <c r="N22" i="9"/>
  <c r="P22" i="9" s="1"/>
  <c r="N21" i="9"/>
  <c r="O21" i="9" s="1"/>
  <c r="N20" i="9"/>
  <c r="P20" i="9" s="1"/>
  <c r="N19" i="9"/>
  <c r="P19" i="9" s="1"/>
  <c r="N18" i="9"/>
  <c r="P18" i="9" s="1"/>
  <c r="N17" i="9"/>
  <c r="P17" i="9" s="1"/>
  <c r="N16" i="9"/>
  <c r="P16" i="9" s="1"/>
  <c r="N15" i="9"/>
  <c r="O15" i="9" s="1"/>
  <c r="N14" i="9"/>
  <c r="P14" i="9" s="1"/>
  <c r="N13" i="9"/>
  <c r="P13" i="9" s="1"/>
  <c r="N12" i="9"/>
  <c r="P12" i="9" s="1"/>
  <c r="N11" i="9"/>
  <c r="P11" i="9" s="1"/>
  <c r="N10" i="9"/>
  <c r="P10" i="9" s="1"/>
  <c r="N9" i="9"/>
  <c r="O9" i="9" s="1"/>
  <c r="N8" i="9"/>
  <c r="P8" i="9" s="1"/>
  <c r="M120" i="9"/>
  <c r="M119" i="9"/>
  <c r="M118" i="9"/>
  <c r="M117" i="9"/>
  <c r="M115" i="9"/>
  <c r="M114" i="9"/>
  <c r="M112" i="9"/>
  <c r="O112" i="9" s="1"/>
  <c r="M111" i="9"/>
  <c r="P111" i="9" s="1"/>
  <c r="M110" i="9"/>
  <c r="M109" i="9"/>
  <c r="M108" i="9"/>
  <c r="M107" i="9"/>
  <c r="M106" i="9"/>
  <c r="O106" i="9" s="1"/>
  <c r="M105" i="9"/>
  <c r="P105" i="9" s="1"/>
  <c r="M104" i="9"/>
  <c r="M103" i="9"/>
  <c r="M102" i="9"/>
  <c r="M101" i="9"/>
  <c r="M100" i="9"/>
  <c r="O100" i="9" s="1"/>
  <c r="M99" i="9"/>
  <c r="P99" i="9" s="1"/>
  <c r="M98" i="9"/>
  <c r="M97" i="9"/>
  <c r="M96" i="9"/>
  <c r="M95" i="9"/>
  <c r="M94" i="9"/>
  <c r="O94" i="9" s="1"/>
  <c r="M93" i="9"/>
  <c r="P93" i="9" s="1"/>
  <c r="M92" i="9"/>
  <c r="M91" i="9"/>
  <c r="M90" i="9"/>
  <c r="M89" i="9"/>
  <c r="M88" i="9"/>
  <c r="O88" i="9" s="1"/>
  <c r="M87" i="9"/>
  <c r="P87" i="9" s="1"/>
  <c r="M86" i="9"/>
  <c r="M85" i="9"/>
  <c r="M84" i="9"/>
  <c r="M83" i="9"/>
  <c r="M82" i="9"/>
  <c r="O82" i="9" s="1"/>
  <c r="M81" i="9"/>
  <c r="P81" i="9" s="1"/>
  <c r="M80" i="9"/>
  <c r="M79" i="9"/>
  <c r="M78" i="9"/>
  <c r="M77" i="9"/>
  <c r="M76" i="9"/>
  <c r="O76" i="9" s="1"/>
  <c r="M75" i="9"/>
  <c r="P75" i="9" s="1"/>
  <c r="M74" i="9"/>
  <c r="M73" i="9"/>
  <c r="M72" i="9"/>
  <c r="M71" i="9"/>
  <c r="M70" i="9"/>
  <c r="O70" i="9" s="1"/>
  <c r="M69" i="9"/>
  <c r="P69" i="9" s="1"/>
  <c r="M68" i="9"/>
  <c r="M67" i="9"/>
  <c r="M66" i="9"/>
  <c r="M65" i="9"/>
  <c r="M64" i="9"/>
  <c r="O64" i="9" s="1"/>
  <c r="M63" i="9"/>
  <c r="P63" i="9" s="1"/>
  <c r="M62" i="9"/>
  <c r="M61" i="9"/>
  <c r="M60" i="9"/>
  <c r="M59" i="9"/>
  <c r="M58" i="9"/>
  <c r="O58" i="9" s="1"/>
  <c r="M57" i="9"/>
  <c r="P57" i="9" s="1"/>
  <c r="M56" i="9"/>
  <c r="M55" i="9"/>
  <c r="M54" i="9"/>
  <c r="M53" i="9"/>
  <c r="M52" i="9"/>
  <c r="O52" i="9" s="1"/>
  <c r="M51" i="9"/>
  <c r="P51" i="9" s="1"/>
  <c r="M50" i="9"/>
  <c r="M49" i="9"/>
  <c r="M48" i="9"/>
  <c r="M47" i="9"/>
  <c r="M46" i="9"/>
  <c r="O46" i="9" s="1"/>
  <c r="M45" i="9"/>
  <c r="P45" i="9" s="1"/>
  <c r="M44" i="9"/>
  <c r="M43" i="9"/>
  <c r="M41" i="9"/>
  <c r="O41" i="9" s="1"/>
  <c r="M40" i="9"/>
  <c r="M39" i="9"/>
  <c r="P39" i="9" s="1"/>
  <c r="M38" i="9"/>
  <c r="O38" i="9" s="1"/>
  <c r="M37" i="9"/>
  <c r="M36" i="9"/>
  <c r="M35" i="9"/>
  <c r="O35" i="9" s="1"/>
  <c r="M34" i="9"/>
  <c r="M33" i="9"/>
  <c r="P33" i="9" s="1"/>
  <c r="M32" i="9"/>
  <c r="O32" i="9" s="1"/>
  <c r="M31" i="9"/>
  <c r="M30" i="9"/>
  <c r="M29" i="9"/>
  <c r="O29" i="9" s="1"/>
  <c r="M28" i="9"/>
  <c r="M27" i="9"/>
  <c r="P27" i="9" s="1"/>
  <c r="M26" i="9"/>
  <c r="O26" i="9" s="1"/>
  <c r="M25" i="9"/>
  <c r="M24" i="9"/>
  <c r="M23" i="9"/>
  <c r="O23" i="9" s="1"/>
  <c r="M22" i="9"/>
  <c r="M21" i="9"/>
  <c r="P21" i="9" s="1"/>
  <c r="M20" i="9"/>
  <c r="O20" i="9" s="1"/>
  <c r="M19" i="9"/>
  <c r="M18" i="9"/>
  <c r="M17" i="9"/>
  <c r="O17" i="9" s="1"/>
  <c r="M16" i="9"/>
  <c r="M15" i="9"/>
  <c r="P15" i="9" s="1"/>
  <c r="M14" i="9"/>
  <c r="O14" i="9" s="1"/>
  <c r="M13" i="9"/>
  <c r="M12" i="9"/>
  <c r="M11" i="9"/>
  <c r="O11" i="9" s="1"/>
  <c r="M10" i="9"/>
  <c r="M9" i="9"/>
  <c r="P9" i="9" s="1"/>
  <c r="M8" i="9"/>
  <c r="O8" i="9" s="1"/>
  <c r="G113" i="9"/>
  <c r="D179" i="24"/>
  <c r="D6" i="24"/>
  <c r="D5" i="24" s="1"/>
  <c r="E182" i="24"/>
  <c r="F76" i="14" s="1"/>
  <c r="D182" i="24"/>
  <c r="C182" i="24"/>
  <c r="C76" i="14" s="1"/>
  <c r="E179" i="24"/>
  <c r="E57" i="24"/>
  <c r="D57" i="24"/>
  <c r="C57" i="24"/>
  <c r="E6" i="24"/>
  <c r="C6" i="24"/>
  <c r="F186" i="24"/>
  <c r="F185" i="24"/>
  <c r="F184" i="24"/>
  <c r="F183" i="24"/>
  <c r="F182" i="24"/>
  <c r="F181" i="24"/>
  <c r="F180" i="24"/>
  <c r="F179" i="24"/>
  <c r="F178" i="24"/>
  <c r="F177" i="24"/>
  <c r="F176" i="24"/>
  <c r="F175" i="24"/>
  <c r="F174" i="24"/>
  <c r="F173" i="24"/>
  <c r="F172" i="24"/>
  <c r="F171" i="24"/>
  <c r="F170" i="24"/>
  <c r="F169" i="24"/>
  <c r="F168" i="24"/>
  <c r="F167" i="24"/>
  <c r="F166" i="24"/>
  <c r="F165" i="24"/>
  <c r="F164" i="24"/>
  <c r="F163" i="24"/>
  <c r="F162" i="24"/>
  <c r="F161" i="24"/>
  <c r="F160" i="24"/>
  <c r="F159" i="24"/>
  <c r="F158" i="24"/>
  <c r="F157" i="24"/>
  <c r="F156" i="24"/>
  <c r="F155" i="24"/>
  <c r="F154" i="24"/>
  <c r="F153" i="24"/>
  <c r="F152" i="24"/>
  <c r="F151" i="24"/>
  <c r="F150" i="24"/>
  <c r="F149" i="24"/>
  <c r="F148" i="24"/>
  <c r="F147" i="24"/>
  <c r="F146" i="24"/>
  <c r="F145" i="24"/>
  <c r="F144" i="24"/>
  <c r="F143" i="24"/>
  <c r="F142" i="24"/>
  <c r="F141" i="24"/>
  <c r="F140" i="24"/>
  <c r="F139" i="24"/>
  <c r="F138" i="24"/>
  <c r="F137" i="24"/>
  <c r="F136" i="24"/>
  <c r="F135" i="24"/>
  <c r="F134" i="24"/>
  <c r="F133" i="24"/>
  <c r="F132" i="24"/>
  <c r="F131" i="24"/>
  <c r="F130" i="24"/>
  <c r="F129" i="24"/>
  <c r="F128" i="24"/>
  <c r="F127" i="24"/>
  <c r="F126" i="24"/>
  <c r="F125" i="24"/>
  <c r="F124" i="24"/>
  <c r="F123" i="24"/>
  <c r="F122" i="24"/>
  <c r="F121" i="24"/>
  <c r="F120" i="24"/>
  <c r="F119" i="24"/>
  <c r="F118" i="24"/>
  <c r="F117" i="24"/>
  <c r="F116" i="24"/>
  <c r="F115" i="24"/>
  <c r="F114" i="24"/>
  <c r="F113" i="24"/>
  <c r="F112" i="24"/>
  <c r="F111" i="24"/>
  <c r="F110" i="24"/>
  <c r="F109" i="24"/>
  <c r="F108" i="24"/>
  <c r="F107" i="24"/>
  <c r="F106" i="24"/>
  <c r="F105" i="24"/>
  <c r="F104" i="24"/>
  <c r="F103" i="24"/>
  <c r="F102" i="24"/>
  <c r="F101" i="24"/>
  <c r="F100" i="24"/>
  <c r="F99" i="24"/>
  <c r="F98" i="24"/>
  <c r="F97" i="24"/>
  <c r="F96" i="24"/>
  <c r="F95" i="24"/>
  <c r="F94" i="24"/>
  <c r="F93" i="24"/>
  <c r="F92" i="24"/>
  <c r="F91" i="24"/>
  <c r="F90" i="24"/>
  <c r="F89" i="24"/>
  <c r="F88" i="24"/>
  <c r="F87" i="24"/>
  <c r="F86" i="24"/>
  <c r="F85" i="24"/>
  <c r="F84" i="24"/>
  <c r="F83" i="24"/>
  <c r="F82" i="24"/>
  <c r="F81" i="24"/>
  <c r="F80" i="24"/>
  <c r="F79" i="24"/>
  <c r="F78" i="24"/>
  <c r="F77" i="24"/>
  <c r="F76" i="24"/>
  <c r="F75" i="24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85" i="14"/>
  <c r="E85" i="14"/>
  <c r="D85" i="14"/>
  <c r="C85" i="14"/>
  <c r="F75" i="14"/>
  <c r="F73" i="14"/>
  <c r="C73" i="14"/>
  <c r="F72" i="14"/>
  <c r="D72" i="14" s="1"/>
  <c r="E72" i="14"/>
  <c r="C72" i="14"/>
  <c r="F66" i="14"/>
  <c r="E66" i="14"/>
  <c r="D66" i="14"/>
  <c r="C66" i="14"/>
  <c r="F49" i="14"/>
  <c r="E49" i="14"/>
  <c r="D49" i="14"/>
  <c r="F48" i="14"/>
  <c r="E48" i="14"/>
  <c r="D48" i="14"/>
  <c r="F47" i="14"/>
  <c r="E47" i="14"/>
  <c r="D47" i="14"/>
  <c r="F46" i="14"/>
  <c r="E46" i="14"/>
  <c r="D46" i="14"/>
  <c r="F45" i="14"/>
  <c r="E45" i="14"/>
  <c r="D45" i="14"/>
  <c r="C49" i="14"/>
  <c r="C48" i="14"/>
  <c r="C47" i="14"/>
  <c r="C46" i="14"/>
  <c r="C45" i="14"/>
  <c r="D30" i="14"/>
  <c r="F30" i="14"/>
  <c r="E30" i="14"/>
  <c r="D28" i="14"/>
  <c r="D27" i="14"/>
  <c r="C30" i="14"/>
  <c r="C28" i="14"/>
  <c r="C27" i="14"/>
  <c r="D21" i="14"/>
  <c r="D20" i="14"/>
  <c r="D19" i="14"/>
  <c r="D18" i="14"/>
  <c r="D17" i="14"/>
  <c r="F21" i="14"/>
  <c r="F20" i="14"/>
  <c r="F19" i="14"/>
  <c r="F18" i="14"/>
  <c r="F17" i="14"/>
  <c r="E21" i="14"/>
  <c r="E20" i="14"/>
  <c r="E19" i="14"/>
  <c r="E18" i="14"/>
  <c r="E17" i="14"/>
  <c r="C21" i="14"/>
  <c r="C20" i="14"/>
  <c r="C19" i="14"/>
  <c r="C18" i="14"/>
  <c r="C17" i="14"/>
  <c r="E14" i="14"/>
  <c r="H13" i="14"/>
  <c r="G13" i="14"/>
  <c r="E13" i="14"/>
  <c r="E12" i="14"/>
  <c r="E11" i="14"/>
  <c r="E10" i="14"/>
  <c r="D14" i="14"/>
  <c r="D13" i="14"/>
  <c r="D12" i="14"/>
  <c r="D11" i="14"/>
  <c r="D10" i="14"/>
  <c r="C14" i="14"/>
  <c r="C13" i="14"/>
  <c r="C12" i="14"/>
  <c r="C11" i="14"/>
  <c r="C10" i="14"/>
  <c r="F72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8" i="22"/>
  <c r="G68" i="22"/>
  <c r="H67" i="22"/>
  <c r="G67" i="22"/>
  <c r="H66" i="22"/>
  <c r="G66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1" i="22"/>
  <c r="G31" i="22"/>
  <c r="H30" i="22"/>
  <c r="G30" i="22"/>
  <c r="H29" i="22"/>
  <c r="G29" i="22"/>
  <c r="H28" i="22"/>
  <c r="G28" i="22"/>
  <c r="H27" i="22"/>
  <c r="G27" i="22"/>
  <c r="H26" i="22"/>
  <c r="G26" i="22"/>
  <c r="H25" i="22"/>
  <c r="G25" i="22"/>
  <c r="F69" i="22"/>
  <c r="O12" i="9" l="1"/>
  <c r="O18" i="9"/>
  <c r="O24" i="9"/>
  <c r="O30" i="9"/>
  <c r="O36" i="9"/>
  <c r="O44" i="9"/>
  <c r="O47" i="9"/>
  <c r="O50" i="9"/>
  <c r="O53" i="9"/>
  <c r="O56" i="9"/>
  <c r="O59" i="9"/>
  <c r="O62" i="9"/>
  <c r="O65" i="9"/>
  <c r="O68" i="9"/>
  <c r="O71" i="9"/>
  <c r="O74" i="9"/>
  <c r="O77" i="9"/>
  <c r="O80" i="9"/>
  <c r="O83" i="9"/>
  <c r="O86" i="9"/>
  <c r="O89" i="9"/>
  <c r="O92" i="9"/>
  <c r="O95" i="9"/>
  <c r="O98" i="9"/>
  <c r="O101" i="9"/>
  <c r="O104" i="9"/>
  <c r="O107" i="9"/>
  <c r="O110" i="9"/>
  <c r="O119" i="9"/>
  <c r="O10" i="9"/>
  <c r="O13" i="9"/>
  <c r="O16" i="9"/>
  <c r="O19" i="9"/>
  <c r="O22" i="9"/>
  <c r="O25" i="9"/>
  <c r="O28" i="9"/>
  <c r="O31" i="9"/>
  <c r="O34" i="9"/>
  <c r="O37" i="9"/>
  <c r="O40" i="9"/>
  <c r="O45" i="9"/>
  <c r="O48" i="9"/>
  <c r="O51" i="9"/>
  <c r="O54" i="9"/>
  <c r="O57" i="9"/>
  <c r="O60" i="9"/>
  <c r="O63" i="9"/>
  <c r="O66" i="9"/>
  <c r="O69" i="9"/>
  <c r="O72" i="9"/>
  <c r="O75" i="9"/>
  <c r="O78" i="9"/>
  <c r="O81" i="9"/>
  <c r="O84" i="9"/>
  <c r="O87" i="9"/>
  <c r="O90" i="9"/>
  <c r="O93" i="9"/>
  <c r="O96" i="9"/>
  <c r="O99" i="9"/>
  <c r="O102" i="9"/>
  <c r="O105" i="9"/>
  <c r="O108" i="9"/>
  <c r="O111" i="9"/>
  <c r="O43" i="9"/>
  <c r="M14" i="26" l="1"/>
  <c r="L14" i="26"/>
  <c r="F181" i="26"/>
  <c r="D181" i="26"/>
  <c r="H188" i="26"/>
  <c r="G188" i="26"/>
  <c r="K14" i="26"/>
  <c r="M15" i="26"/>
  <c r="M22" i="26"/>
  <c r="L22" i="26"/>
  <c r="M17" i="26"/>
  <c r="L17" i="26"/>
  <c r="K22" i="26"/>
  <c r="K17" i="26"/>
  <c r="L15" i="26"/>
  <c r="K15" i="26"/>
  <c r="K10" i="26"/>
  <c r="H123" i="26"/>
  <c r="G123" i="26"/>
  <c r="H122" i="26"/>
  <c r="G122" i="26"/>
  <c r="H121" i="26"/>
  <c r="G121" i="26"/>
  <c r="H120" i="26"/>
  <c r="G120" i="26"/>
  <c r="H119" i="26"/>
  <c r="G119" i="26"/>
  <c r="H118" i="26"/>
  <c r="G118" i="26"/>
  <c r="H117" i="26"/>
  <c r="G117" i="26"/>
  <c r="H116" i="26"/>
  <c r="G116" i="26"/>
  <c r="H115" i="26"/>
  <c r="G115" i="26"/>
  <c r="F110" i="26"/>
  <c r="F72" i="26"/>
  <c r="F115" i="26"/>
  <c r="F73" i="26"/>
  <c r="F100" i="26"/>
  <c r="F119" i="26"/>
  <c r="F118" i="26" s="1"/>
  <c r="F95" i="26"/>
  <c r="F254" i="26" l="1"/>
  <c r="M27" i="26"/>
  <c r="L27" i="26"/>
  <c r="M26" i="26"/>
  <c r="L26" i="26"/>
  <c r="K27" i="26"/>
  <c r="K26" i="26"/>
  <c r="M20" i="26"/>
  <c r="L20" i="26"/>
  <c r="M19" i="26"/>
  <c r="L19" i="26"/>
  <c r="K20" i="26"/>
  <c r="K19" i="26"/>
  <c r="M13" i="26"/>
  <c r="M33" i="26" s="1"/>
  <c r="L13" i="26"/>
  <c r="L33" i="26" s="1"/>
  <c r="L12" i="26"/>
  <c r="L32" i="26" s="1"/>
  <c r="K13" i="26"/>
  <c r="K12" i="26"/>
  <c r="K32" i="26" s="1"/>
  <c r="K33" i="26" l="1"/>
  <c r="H254" i="26"/>
  <c r="G254" i="26"/>
  <c r="H249" i="26"/>
  <c r="G249" i="26"/>
  <c r="H248" i="26"/>
  <c r="G248" i="26"/>
  <c r="H242" i="26"/>
  <c r="G242" i="26"/>
  <c r="H241" i="26"/>
  <c r="G241" i="26"/>
  <c r="H239" i="26"/>
  <c r="G239" i="26"/>
  <c r="H234" i="26"/>
  <c r="G234" i="26"/>
  <c r="H233" i="26"/>
  <c r="G233" i="26"/>
  <c r="H228" i="26"/>
  <c r="G228" i="26"/>
  <c r="H224" i="26"/>
  <c r="G224" i="26"/>
  <c r="H223" i="26"/>
  <c r="G223" i="26"/>
  <c r="H221" i="26"/>
  <c r="G221" i="26"/>
  <c r="H219" i="26"/>
  <c r="G219" i="26"/>
  <c r="H218" i="26"/>
  <c r="G218" i="26"/>
  <c r="H216" i="26"/>
  <c r="G216" i="26"/>
  <c r="H215" i="26"/>
  <c r="G215" i="26"/>
  <c r="H210" i="26"/>
  <c r="G210" i="26"/>
  <c r="H209" i="26"/>
  <c r="G209" i="26"/>
  <c r="H208" i="26"/>
  <c r="G208" i="26"/>
  <c r="H206" i="26"/>
  <c r="G206" i="26"/>
  <c r="H205" i="26"/>
  <c r="G205" i="26"/>
  <c r="H204" i="26"/>
  <c r="G204" i="26"/>
  <c r="H203" i="26"/>
  <c r="G203" i="26"/>
  <c r="H202" i="26"/>
  <c r="G202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4" i="26"/>
  <c r="G194" i="26"/>
  <c r="H192" i="26"/>
  <c r="G192" i="26"/>
  <c r="H191" i="26"/>
  <c r="G191" i="26"/>
  <c r="H186" i="26"/>
  <c r="G186" i="26"/>
  <c r="H185" i="26"/>
  <c r="G185" i="26"/>
  <c r="H184" i="26"/>
  <c r="G184" i="26"/>
  <c r="H178" i="26"/>
  <c r="G178" i="26"/>
  <c r="H173" i="26"/>
  <c r="G173" i="26"/>
  <c r="H172" i="26"/>
  <c r="G172" i="26"/>
  <c r="H169" i="26"/>
  <c r="G169" i="26"/>
  <c r="H161" i="26"/>
  <c r="G161" i="26"/>
  <c r="H160" i="26"/>
  <c r="G160" i="26"/>
  <c r="H159" i="26"/>
  <c r="G159" i="26"/>
  <c r="H154" i="26"/>
  <c r="G154" i="26"/>
  <c r="H153" i="26"/>
  <c r="G153" i="26"/>
  <c r="H152" i="26"/>
  <c r="G152" i="26"/>
  <c r="H151" i="26"/>
  <c r="G151" i="26"/>
  <c r="H146" i="26"/>
  <c r="G146" i="26"/>
  <c r="H145" i="26"/>
  <c r="G145" i="26"/>
  <c r="H144" i="26"/>
  <c r="G144" i="26"/>
  <c r="H143" i="26"/>
  <c r="G143" i="26"/>
  <c r="H141" i="26"/>
  <c r="G141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29" i="26"/>
  <c r="G129" i="26"/>
  <c r="H128" i="26"/>
  <c r="G128" i="26"/>
  <c r="H114" i="26"/>
  <c r="G114" i="26"/>
  <c r="H109" i="26"/>
  <c r="G109" i="26"/>
  <c r="H108" i="26"/>
  <c r="G108" i="26"/>
  <c r="H107" i="26"/>
  <c r="G107" i="26"/>
  <c r="H104" i="26"/>
  <c r="G104" i="26"/>
  <c r="H101" i="26"/>
  <c r="G101" i="26"/>
  <c r="H100" i="26"/>
  <c r="G100" i="26"/>
  <c r="H99" i="26"/>
  <c r="G99" i="26"/>
  <c r="H98" i="26"/>
  <c r="G98" i="26"/>
  <c r="H96" i="26"/>
  <c r="G96" i="26"/>
  <c r="H95" i="26"/>
  <c r="G95" i="26"/>
  <c r="H93" i="26"/>
  <c r="G93" i="26"/>
  <c r="H92" i="26"/>
  <c r="G92" i="26"/>
  <c r="H91" i="26"/>
  <c r="G91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1" i="26"/>
  <c r="G71" i="26"/>
  <c r="H69" i="26"/>
  <c r="G69" i="26"/>
  <c r="H68" i="26"/>
  <c r="G68" i="26"/>
  <c r="H66" i="26"/>
  <c r="G66" i="26"/>
  <c r="H65" i="26"/>
  <c r="G65" i="26"/>
  <c r="H64" i="26"/>
  <c r="G64" i="26"/>
  <c r="H63" i="26"/>
  <c r="G63" i="26"/>
  <c r="H61" i="26"/>
  <c r="G61" i="26"/>
  <c r="H60" i="26"/>
  <c r="G60" i="26"/>
  <c r="H59" i="26"/>
  <c r="G59" i="26"/>
  <c r="H52" i="26"/>
  <c r="G52" i="26"/>
  <c r="H51" i="26"/>
  <c r="G51" i="26"/>
  <c r="H48" i="26"/>
  <c r="G48" i="26"/>
  <c r="H47" i="26"/>
  <c r="G47" i="26"/>
  <c r="H46" i="26"/>
  <c r="G46" i="26"/>
  <c r="H45" i="26"/>
  <c r="G45" i="26"/>
  <c r="H43" i="26"/>
  <c r="G43" i="26"/>
  <c r="H42" i="26"/>
  <c r="G42" i="26"/>
  <c r="H41" i="26"/>
  <c r="G41" i="26"/>
  <c r="H40" i="26"/>
  <c r="G40" i="26"/>
  <c r="H39" i="26"/>
  <c r="G39" i="26"/>
  <c r="H35" i="26"/>
  <c r="G35" i="26"/>
  <c r="H34" i="26"/>
  <c r="G34" i="26"/>
  <c r="H33" i="26"/>
  <c r="G33" i="26"/>
  <c r="H30" i="26"/>
  <c r="G30" i="26"/>
  <c r="H29" i="26"/>
  <c r="G29" i="26"/>
  <c r="H24" i="26"/>
  <c r="G24" i="26"/>
  <c r="H18" i="26"/>
  <c r="G18" i="26"/>
  <c r="H17" i="26"/>
  <c r="G17" i="26"/>
  <c r="H15" i="26"/>
  <c r="G15" i="26"/>
  <c r="H14" i="26"/>
  <c r="G14" i="26"/>
  <c r="H12" i="26"/>
  <c r="G12" i="26"/>
  <c r="H7" i="9" l="1"/>
  <c r="F114" i="9"/>
  <c r="I113" i="9"/>
  <c r="J113" i="9"/>
  <c r="K113" i="9"/>
  <c r="L115" i="9"/>
  <c r="N115" i="9" s="1"/>
  <c r="H114" i="9"/>
  <c r="H113" i="9" s="1"/>
  <c r="E181" i="24"/>
  <c r="E180" i="24"/>
  <c r="P115" i="9" l="1"/>
  <c r="O115" i="9"/>
  <c r="L113" i="9"/>
  <c r="N113" i="9" s="1"/>
  <c r="M113" i="9"/>
  <c r="N114" i="9"/>
  <c r="E89" i="14"/>
  <c r="P113" i="9" l="1"/>
  <c r="O113" i="9"/>
  <c r="P114" i="9"/>
  <c r="O114" i="9"/>
  <c r="F257" i="26"/>
  <c r="G257" i="26" l="1"/>
  <c r="H257" i="26"/>
  <c r="F81" i="14"/>
  <c r="D59" i="14"/>
  <c r="D55" i="14"/>
  <c r="F32" i="22"/>
  <c r="F130" i="26"/>
  <c r="H130" i="26" l="1"/>
  <c r="G130" i="26"/>
  <c r="F187" i="26"/>
  <c r="F217" i="26"/>
  <c r="F62" i="26"/>
  <c r="F183" i="26"/>
  <c r="H183" i="26" l="1"/>
  <c r="G183" i="26"/>
  <c r="H62" i="26"/>
  <c r="G62" i="26"/>
  <c r="G217" i="26"/>
  <c r="H217" i="26"/>
  <c r="G187" i="26"/>
  <c r="H187" i="26"/>
  <c r="F11" i="26"/>
  <c r="G11" i="26" l="1"/>
  <c r="H11" i="26"/>
  <c r="F13" i="26"/>
  <c r="F10" i="26" l="1"/>
  <c r="H13" i="26"/>
  <c r="G13" i="26"/>
  <c r="F97" i="26"/>
  <c r="H97" i="26" l="1"/>
  <c r="G97" i="26"/>
  <c r="F182" i="26"/>
  <c r="F195" i="26"/>
  <c r="H195" i="26" l="1"/>
  <c r="G195" i="26"/>
  <c r="G182" i="26"/>
  <c r="H182" i="26"/>
  <c r="F193" i="26"/>
  <c r="F190" i="26"/>
  <c r="H190" i="26" l="1"/>
  <c r="G190" i="26"/>
  <c r="H193" i="26"/>
  <c r="G193" i="26"/>
  <c r="F189" i="26"/>
  <c r="F88" i="26"/>
  <c r="F70" i="26"/>
  <c r="F103" i="26"/>
  <c r="F102" i="26"/>
  <c r="H72" i="26" l="1"/>
  <c r="G72" i="26"/>
  <c r="H189" i="26"/>
  <c r="G189" i="26"/>
  <c r="H102" i="26"/>
  <c r="G102" i="26"/>
  <c r="H103" i="26"/>
  <c r="G103" i="26"/>
  <c r="G70" i="26"/>
  <c r="H70" i="26"/>
  <c r="H88" i="26"/>
  <c r="G88" i="26"/>
  <c r="F94" i="26"/>
  <c r="F67" i="26"/>
  <c r="F214" i="26"/>
  <c r="F240" i="26"/>
  <c r="F238" i="26"/>
  <c r="F237" i="26"/>
  <c r="F243" i="26"/>
  <c r="F245" i="26"/>
  <c r="F236" i="26"/>
  <c r="F230" i="26"/>
  <c r="F222" i="26"/>
  <c r="F225" i="26"/>
  <c r="F227" i="26"/>
  <c r="F244" i="26"/>
  <c r="F229" i="26"/>
  <c r="F226" i="26"/>
  <c r="H227" i="26" l="1"/>
  <c r="G227" i="26"/>
  <c r="H225" i="26"/>
  <c r="G225" i="26"/>
  <c r="H237" i="26"/>
  <c r="G237" i="26"/>
  <c r="H222" i="26"/>
  <c r="G222" i="26"/>
  <c r="G238" i="26"/>
  <c r="H238" i="26"/>
  <c r="G244" i="26"/>
  <c r="H244" i="26"/>
  <c r="H245" i="26"/>
  <c r="G245" i="26"/>
  <c r="H243" i="26"/>
  <c r="G243" i="26"/>
  <c r="G226" i="26"/>
  <c r="H226" i="26"/>
  <c r="H230" i="26"/>
  <c r="G230" i="26"/>
  <c r="H240" i="26"/>
  <c r="G240" i="26"/>
  <c r="G229" i="26"/>
  <c r="H229" i="26"/>
  <c r="H236" i="26"/>
  <c r="G236" i="26"/>
  <c r="F220" i="26"/>
  <c r="F235" i="26"/>
  <c r="F168" i="26"/>
  <c r="F23" i="26"/>
  <c r="F167" i="26"/>
  <c r="F21" i="26"/>
  <c r="F166" i="26"/>
  <c r="F26" i="26"/>
  <c r="F22" i="26"/>
  <c r="F31" i="26"/>
  <c r="F28" i="26"/>
  <c r="F54" i="26"/>
  <c r="F49" i="26"/>
  <c r="F36" i="26"/>
  <c r="F32" i="26"/>
  <c r="F27" i="26"/>
  <c r="F25" i="26"/>
  <c r="F20" i="26"/>
  <c r="F16" i="26"/>
  <c r="H54" i="26" l="1"/>
  <c r="G54" i="26"/>
  <c r="H25" i="26"/>
  <c r="G25" i="26"/>
  <c r="G20" i="26"/>
  <c r="H20" i="26"/>
  <c r="G167" i="26"/>
  <c r="H167" i="26"/>
  <c r="H31" i="26"/>
  <c r="G31" i="26"/>
  <c r="H22" i="26"/>
  <c r="G22" i="26"/>
  <c r="H168" i="26"/>
  <c r="G168" i="26"/>
  <c r="H21" i="26"/>
  <c r="G21" i="26"/>
  <c r="H28" i="26"/>
  <c r="G28" i="26"/>
  <c r="H27" i="26"/>
  <c r="G27" i="26"/>
  <c r="H23" i="26"/>
  <c r="G23" i="26"/>
  <c r="H32" i="26"/>
  <c r="G32" i="26"/>
  <c r="H36" i="26"/>
  <c r="G36" i="26"/>
  <c r="G26" i="26"/>
  <c r="H26" i="26"/>
  <c r="M12" i="26"/>
  <c r="M32" i="26" s="1"/>
  <c r="H16" i="26"/>
  <c r="G16" i="26"/>
  <c r="F44" i="26"/>
  <c r="H49" i="26"/>
  <c r="G49" i="26"/>
  <c r="H166" i="26"/>
  <c r="G166" i="26"/>
  <c r="F165" i="26"/>
  <c r="F19" i="26"/>
  <c r="I116" i="9"/>
  <c r="K116" i="9"/>
  <c r="L120" i="9"/>
  <c r="J120" i="9"/>
  <c r="H118" i="9"/>
  <c r="N118" i="9" s="1"/>
  <c r="H117" i="9"/>
  <c r="N117" i="9" s="1"/>
  <c r="P117" i="9" l="1"/>
  <c r="O117" i="9"/>
  <c r="J116" i="9"/>
  <c r="N120" i="9"/>
  <c r="P118" i="9"/>
  <c r="O118" i="9"/>
  <c r="H116" i="9"/>
  <c r="L116" i="9"/>
  <c r="E186" i="24"/>
  <c r="E184" i="24"/>
  <c r="E183" i="24"/>
  <c r="P120" i="9" l="1"/>
  <c r="O120" i="9"/>
  <c r="E42" i="9"/>
  <c r="F42" i="9"/>
  <c r="G42" i="9"/>
  <c r="I42" i="9"/>
  <c r="J42" i="9"/>
  <c r="K42" i="9"/>
  <c r="L42" i="9"/>
  <c r="H42" i="9"/>
  <c r="H121" i="9" s="1"/>
  <c r="N42" i="9" l="1"/>
  <c r="M42" i="9"/>
  <c r="E7" i="9"/>
  <c r="F7" i="9"/>
  <c r="G7" i="9"/>
  <c r="I7" i="9"/>
  <c r="I121" i="9" s="1"/>
  <c r="J7" i="9"/>
  <c r="J121" i="9" s="1"/>
  <c r="K7" i="9"/>
  <c r="K121" i="9" s="1"/>
  <c r="L7" i="9"/>
  <c r="L121" i="9" s="1"/>
  <c r="N7" i="9" l="1"/>
  <c r="M7" i="9"/>
  <c r="P42" i="9"/>
  <c r="O42" i="9"/>
  <c r="E5" i="24"/>
  <c r="E131" i="26" l="1"/>
  <c r="C183" i="24" l="1"/>
  <c r="D69" i="22" l="1"/>
  <c r="D39" i="22"/>
  <c r="D32" i="22" s="1"/>
  <c r="D209" i="26" l="1"/>
  <c r="D208" i="26" s="1"/>
  <c r="D206" i="26" s="1"/>
  <c r="D171" i="26"/>
  <c r="D165" i="26"/>
  <c r="D131" i="26"/>
  <c r="D94" i="26" l="1"/>
  <c r="D67" i="26" l="1"/>
  <c r="D224" i="26" l="1"/>
  <c r="D201" i="26"/>
  <c r="D204" i="26"/>
  <c r="D200" i="26" l="1"/>
  <c r="F113" i="26"/>
  <c r="F112" i="26" s="1"/>
  <c r="H113" i="26" l="1"/>
  <c r="G113" i="26"/>
  <c r="D92" i="14"/>
  <c r="D96" i="14" s="1"/>
  <c r="D91" i="14"/>
  <c r="D95" i="14" s="1"/>
  <c r="D90" i="14"/>
  <c r="D94" i="14" s="1"/>
  <c r="H112" i="26" l="1"/>
  <c r="G112" i="26"/>
  <c r="D89" i="14"/>
  <c r="D81" i="14"/>
  <c r="H110" i="26" l="1"/>
  <c r="G110" i="26"/>
  <c r="D93" i="14"/>
  <c r="F10" i="22" l="1"/>
  <c r="D24" i="14" s="1"/>
  <c r="F19" i="22" l="1"/>
  <c r="D34" i="14" s="1"/>
  <c r="F38" i="26" l="1"/>
  <c r="F37" i="26" l="1"/>
  <c r="E90" i="14" l="1"/>
  <c r="E94" i="14" s="1"/>
  <c r="E25" i="14"/>
  <c r="E65" i="22"/>
  <c r="E92" i="22" l="1"/>
  <c r="E69" i="22"/>
  <c r="E32" i="22"/>
  <c r="F131" i="26"/>
  <c r="G32" i="22" l="1"/>
  <c r="H32" i="22"/>
  <c r="G69" i="22"/>
  <c r="H69" i="22"/>
  <c r="H131" i="26"/>
  <c r="G131" i="26"/>
  <c r="E116" i="9"/>
  <c r="M116" i="9" s="1"/>
  <c r="F116" i="9"/>
  <c r="N116" i="9" s="1"/>
  <c r="G116" i="9"/>
  <c r="G121" i="9" s="1"/>
  <c r="P116" i="9" l="1"/>
  <c r="O116" i="9"/>
  <c r="E38" i="26"/>
  <c r="D38" i="26"/>
  <c r="D220" i="26"/>
  <c r="D232" i="26"/>
  <c r="D189" i="26"/>
  <c r="D182" i="26"/>
  <c r="D106" i="26"/>
  <c r="D105" i="26" s="1"/>
  <c r="D90" i="26"/>
  <c r="D10" i="26"/>
  <c r="E140" i="26"/>
  <c r="F140" i="26"/>
  <c r="D140" i="26"/>
  <c r="K18" i="26" l="1"/>
  <c r="H38" i="26"/>
  <c r="G38" i="26"/>
  <c r="H140" i="26"/>
  <c r="G140" i="26"/>
  <c r="D179" i="26"/>
  <c r="F86" i="14"/>
  <c r="I46" i="14" l="1"/>
  <c r="D10" i="22" l="1"/>
  <c r="C24" i="14" s="1"/>
  <c r="E10" i="22"/>
  <c r="E24" i="14" s="1"/>
  <c r="F177" i="26" l="1"/>
  <c r="F176" i="26" l="1"/>
  <c r="G177" i="26"/>
  <c r="H177" i="26"/>
  <c r="E91" i="14"/>
  <c r="E95" i="14" s="1"/>
  <c r="E92" i="14"/>
  <c r="E96" i="14" s="1"/>
  <c r="F174" i="26" l="1"/>
  <c r="H176" i="26"/>
  <c r="G176" i="26"/>
  <c r="F58" i="26"/>
  <c r="F106" i="26"/>
  <c r="H174" i="26" l="1"/>
  <c r="G174" i="26"/>
  <c r="F57" i="26"/>
  <c r="F87" i="14" l="1"/>
  <c r="F88" i="14"/>
  <c r="C91" i="14"/>
  <c r="C95" i="14" s="1"/>
  <c r="C92" i="14"/>
  <c r="C96" i="14" s="1"/>
  <c r="C90" i="14"/>
  <c r="C94" i="14" s="1"/>
  <c r="F232" i="26" l="1"/>
  <c r="E171" i="26"/>
  <c r="E165" i="26"/>
  <c r="E232" i="26"/>
  <c r="D214" i="26"/>
  <c r="E19" i="26"/>
  <c r="H19" i="26" l="1"/>
  <c r="G19" i="26"/>
  <c r="H165" i="26"/>
  <c r="G165" i="26"/>
  <c r="G232" i="26"/>
  <c r="H232" i="26"/>
  <c r="D247" i="26"/>
  <c r="D246" i="26" s="1"/>
  <c r="D150" i="26"/>
  <c r="D58" i="26"/>
  <c r="D89" i="26" l="1"/>
  <c r="D57" i="26"/>
  <c r="D55" i="26" l="1"/>
  <c r="F23" i="22"/>
  <c r="E23" i="22"/>
  <c r="F150" i="26" l="1"/>
  <c r="G150" i="26" l="1"/>
  <c r="H150" i="26"/>
  <c r="F247" i="26"/>
  <c r="D235" i="26"/>
  <c r="D231" i="26" s="1"/>
  <c r="D213" i="26"/>
  <c r="D158" i="26"/>
  <c r="D142" i="26"/>
  <c r="D139" i="26" s="1"/>
  <c r="D127" i="26"/>
  <c r="K11" i="26" s="1"/>
  <c r="K31" i="26" s="1"/>
  <c r="E106" i="26"/>
  <c r="E94" i="26"/>
  <c r="E90" i="26"/>
  <c r="L18" i="26" s="1"/>
  <c r="F90" i="26"/>
  <c r="E67" i="26"/>
  <c r="E58" i="26"/>
  <c r="D44" i="26"/>
  <c r="E10" i="26"/>
  <c r="H10" i="26" l="1"/>
  <c r="G10" i="26"/>
  <c r="H94" i="26"/>
  <c r="G94" i="26"/>
  <c r="G106" i="26"/>
  <c r="H106" i="26"/>
  <c r="H247" i="26"/>
  <c r="G247" i="26"/>
  <c r="H90" i="26"/>
  <c r="G90" i="26"/>
  <c r="M18" i="26"/>
  <c r="D37" i="26"/>
  <c r="H58" i="26"/>
  <c r="G58" i="26"/>
  <c r="H67" i="26"/>
  <c r="G67" i="26"/>
  <c r="D211" i="26"/>
  <c r="F89" i="26"/>
  <c r="F92" i="22" l="1"/>
  <c r="G92" i="22" l="1"/>
  <c r="H92" i="22"/>
  <c r="C89" i="14"/>
  <c r="F90" i="14" l="1"/>
  <c r="F94" i="14" s="1"/>
  <c r="N121" i="9" l="1"/>
  <c r="M121" i="9"/>
  <c r="F7" i="24" l="1"/>
  <c r="E127" i="26" l="1"/>
  <c r="E142" i="26"/>
  <c r="E139" i="26" s="1"/>
  <c r="E126" i="26" l="1"/>
  <c r="H75" i="14" l="1"/>
  <c r="G75" i="14"/>
  <c r="H74" i="14"/>
  <c r="E7" i="22" l="1"/>
  <c r="D7" i="22"/>
  <c r="C8" i="14" l="1"/>
  <c r="E8" i="14"/>
  <c r="D19" i="26"/>
  <c r="D9" i="26" l="1"/>
  <c r="F53" i="14" l="1"/>
  <c r="H76" i="14" l="1"/>
  <c r="G76" i="14"/>
  <c r="E147" i="26" l="1"/>
  <c r="F127" i="26" l="1"/>
  <c r="H127" i="26" l="1"/>
  <c r="G127" i="26"/>
  <c r="M11" i="26"/>
  <c r="M31" i="26" s="1"/>
  <c r="F126" i="26"/>
  <c r="F171" i="26"/>
  <c r="H171" i="26" l="1"/>
  <c r="G171" i="26"/>
  <c r="H126" i="26"/>
  <c r="G126" i="26"/>
  <c r="E44" i="26"/>
  <c r="G44" i="26" l="1"/>
  <c r="H44" i="26"/>
  <c r="E37" i="26"/>
  <c r="E9" i="26"/>
  <c r="E57" i="26"/>
  <c r="H57" i="26" l="1"/>
  <c r="G57" i="26"/>
  <c r="G37" i="26"/>
  <c r="H37" i="26"/>
  <c r="D19" i="22" l="1"/>
  <c r="C34" i="14" s="1"/>
  <c r="D177" i="26"/>
  <c r="D176" i="26" s="1"/>
  <c r="D174" i="26" s="1"/>
  <c r="E53" i="26"/>
  <c r="F53" i="26"/>
  <c r="D53" i="26"/>
  <c r="K29" i="26" s="1"/>
  <c r="K35" i="26" s="1"/>
  <c r="G53" i="26" l="1"/>
  <c r="H53" i="26"/>
  <c r="D50" i="26"/>
  <c r="F50" i="26"/>
  <c r="F60" i="14" l="1"/>
  <c r="F67" i="14" l="1"/>
  <c r="F65" i="22" l="1"/>
  <c r="G65" i="22" l="1"/>
  <c r="H65" i="22"/>
  <c r="F9" i="26"/>
  <c r="F7" i="26" l="1"/>
  <c r="F105" i="26"/>
  <c r="F55" i="26" l="1"/>
  <c r="F164" i="26"/>
  <c r="C22" i="14" l="1"/>
  <c r="G67" i="14" l="1"/>
  <c r="G65" i="14"/>
  <c r="G63" i="14"/>
  <c r="G62" i="14"/>
  <c r="G61" i="14"/>
  <c r="G60" i="14"/>
  <c r="G58" i="14"/>
  <c r="G56" i="14"/>
  <c r="G54" i="14"/>
  <c r="G53" i="14"/>
  <c r="H77" i="14"/>
  <c r="G77" i="14"/>
  <c r="H20" i="22" l="1"/>
  <c r="G20" i="22"/>
  <c r="H18" i="22"/>
  <c r="G18" i="22"/>
  <c r="H15" i="22"/>
  <c r="G15" i="22"/>
  <c r="H14" i="22"/>
  <c r="G14" i="22"/>
  <c r="H12" i="22"/>
  <c r="G12" i="22"/>
  <c r="H11" i="22"/>
  <c r="G11" i="22"/>
  <c r="H9" i="22"/>
  <c r="G9" i="22"/>
  <c r="F41" i="14" l="1"/>
  <c r="H16" i="22" l="1"/>
  <c r="G16" i="22"/>
  <c r="F121" i="9" l="1"/>
  <c r="E121" i="9"/>
  <c r="H72" i="14" l="1"/>
  <c r="G72" i="14"/>
  <c r="G73" i="14"/>
  <c r="H73" i="14"/>
  <c r="F92" i="14" l="1"/>
  <c r="F96" i="14" s="1"/>
  <c r="F91" i="14"/>
  <c r="F95" i="14" s="1"/>
  <c r="F38" i="14"/>
  <c r="F246" i="26" l="1"/>
  <c r="F256" i="26"/>
  <c r="M21" i="26" l="1"/>
  <c r="H246" i="26"/>
  <c r="G246" i="26"/>
  <c r="G181" i="26"/>
  <c r="H181" i="26"/>
  <c r="F179" i="26"/>
  <c r="F255" i="26"/>
  <c r="E179" i="26" l="1"/>
  <c r="H179" i="26" s="1"/>
  <c r="D256" i="26"/>
  <c r="K21" i="26" s="1"/>
  <c r="G179" i="26" l="1"/>
  <c r="F213" i="26"/>
  <c r="E256" i="26" l="1"/>
  <c r="L21" i="26" l="1"/>
  <c r="G256" i="26"/>
  <c r="H256" i="26"/>
  <c r="E255" i="26"/>
  <c r="H255" i="26" l="1"/>
  <c r="G255" i="26"/>
  <c r="E50" i="26"/>
  <c r="H50" i="26" l="1"/>
  <c r="G50" i="26"/>
  <c r="E7" i="26"/>
  <c r="F231" i="26" l="1"/>
  <c r="E105" i="26"/>
  <c r="E89" i="26"/>
  <c r="F211" i="26" l="1"/>
  <c r="H89" i="26"/>
  <c r="G89" i="26"/>
  <c r="G105" i="26"/>
  <c r="H105" i="26"/>
  <c r="E55" i="26"/>
  <c r="C5" i="24"/>
  <c r="H55" i="26" l="1"/>
  <c r="G55" i="26"/>
  <c r="D23" i="22"/>
  <c r="D65" i="22"/>
  <c r="D92" i="22"/>
  <c r="D149" i="26" l="1"/>
  <c r="D147" i="26" s="1"/>
  <c r="H24" i="22" l="1"/>
  <c r="G24" i="22"/>
  <c r="H8" i="22" l="1"/>
  <c r="G8" i="22"/>
  <c r="F149" i="26" l="1"/>
  <c r="H149" i="26" l="1"/>
  <c r="G149" i="26"/>
  <c r="F147" i="26"/>
  <c r="H147" i="26" l="1"/>
  <c r="G147" i="26"/>
  <c r="D255" i="26"/>
  <c r="G66" i="14" l="1"/>
  <c r="F59" i="14"/>
  <c r="C59" i="14"/>
  <c r="C57" i="14" s="1"/>
  <c r="F55" i="14"/>
  <c r="G55" i="14" s="1"/>
  <c r="C55" i="14"/>
  <c r="F89" i="14"/>
  <c r="F93" i="14" s="1"/>
  <c r="G49" i="14"/>
  <c r="F23" i="14"/>
  <c r="F24" i="14"/>
  <c r="F26" i="14"/>
  <c r="F27" i="14"/>
  <c r="F28" i="14"/>
  <c r="F29" i="14"/>
  <c r="F33" i="14"/>
  <c r="F35" i="14"/>
  <c r="F37" i="14"/>
  <c r="F40" i="14"/>
  <c r="F10" i="14"/>
  <c r="F11" i="14"/>
  <c r="F12" i="14"/>
  <c r="F13" i="14"/>
  <c r="F14" i="14"/>
  <c r="H28" i="14" l="1"/>
  <c r="G28" i="14"/>
  <c r="H27" i="14"/>
  <c r="G27" i="14"/>
  <c r="G59" i="14"/>
  <c r="H59" i="14"/>
  <c r="E19" i="22"/>
  <c r="E34" i="14" s="1"/>
  <c r="D253" i="26" l="1"/>
  <c r="K34" i="26" s="1"/>
  <c r="K36" i="26" s="1"/>
  <c r="E253" i="26"/>
  <c r="L34" i="26" s="1"/>
  <c r="E252" i="26" l="1"/>
  <c r="E250" i="26" s="1"/>
  <c r="D252" i="26"/>
  <c r="D250" i="26" s="1"/>
  <c r="F34" i="14" l="1"/>
  <c r="H34" i="14" s="1"/>
  <c r="H19" i="22" l="1"/>
  <c r="G19" i="22"/>
  <c r="D164" i="26" l="1"/>
  <c r="E220" i="26" l="1"/>
  <c r="H220" i="26" l="1"/>
  <c r="G220" i="26"/>
  <c r="D170" i="26"/>
  <c r="D162" i="26" l="1"/>
  <c r="E180" i="26" l="1"/>
  <c r="F170" i="26" l="1"/>
  <c r="F162" i="26" l="1"/>
  <c r="F253" i="26"/>
  <c r="M34" i="26" l="1"/>
  <c r="G253" i="26"/>
  <c r="H253" i="26"/>
  <c r="F252" i="26"/>
  <c r="M10" i="26" l="1"/>
  <c r="H252" i="26"/>
  <c r="G252" i="26"/>
  <c r="F250" i="26"/>
  <c r="E235" i="26"/>
  <c r="G235" i="26" l="1"/>
  <c r="H235" i="26"/>
  <c r="G250" i="26"/>
  <c r="H250" i="26"/>
  <c r="E231" i="26"/>
  <c r="E214" i="26"/>
  <c r="G214" i="26" l="1"/>
  <c r="H214" i="26"/>
  <c r="L11" i="26"/>
  <c r="L31" i="26" s="1"/>
  <c r="G231" i="26"/>
  <c r="H231" i="26"/>
  <c r="E213" i="26"/>
  <c r="E211" i="26" l="1"/>
  <c r="H213" i="26"/>
  <c r="G213" i="26"/>
  <c r="G5" i="24"/>
  <c r="H211" i="26" l="1"/>
  <c r="G211" i="26"/>
  <c r="D17" i="22"/>
  <c r="E17" i="22"/>
  <c r="F17" i="22"/>
  <c r="F7" i="22"/>
  <c r="D157" i="26"/>
  <c r="K24" i="26" s="1"/>
  <c r="F158" i="26"/>
  <c r="E158" i="26"/>
  <c r="L29" i="26" s="1"/>
  <c r="L35" i="26" s="1"/>
  <c r="L36" i="26" s="1"/>
  <c r="F32" i="14" l="1"/>
  <c r="D32" i="14"/>
  <c r="D8" i="14"/>
  <c r="F8" i="14" s="1"/>
  <c r="F6" i="22"/>
  <c r="E32" i="14"/>
  <c r="E6" i="22"/>
  <c r="C32" i="14"/>
  <c r="D6" i="22"/>
  <c r="H158" i="26"/>
  <c r="G158" i="26"/>
  <c r="M29" i="26"/>
  <c r="D155" i="26"/>
  <c r="E157" i="26"/>
  <c r="L24" i="26" s="1"/>
  <c r="H17" i="22"/>
  <c r="G17" i="22"/>
  <c r="H10" i="22"/>
  <c r="G10" i="22"/>
  <c r="E164" i="26"/>
  <c r="F157" i="26"/>
  <c r="E170" i="26"/>
  <c r="F142" i="26"/>
  <c r="G170" i="26" l="1"/>
  <c r="H170" i="26"/>
  <c r="G157" i="26"/>
  <c r="H157" i="26"/>
  <c r="M24" i="26"/>
  <c r="L10" i="26"/>
  <c r="L8" i="26" s="1"/>
  <c r="G164" i="26"/>
  <c r="H164" i="26"/>
  <c r="H142" i="26"/>
  <c r="G142" i="26"/>
  <c r="M35" i="26"/>
  <c r="M36" i="26" s="1"/>
  <c r="I6" i="22"/>
  <c r="F139" i="26"/>
  <c r="E124" i="26"/>
  <c r="D126" i="26"/>
  <c r="K8" i="26" s="1"/>
  <c r="E155" i="26"/>
  <c r="E162" i="26"/>
  <c r="G6" i="22"/>
  <c r="H6" i="22"/>
  <c r="F155" i="26"/>
  <c r="H155" i="26" l="1"/>
  <c r="G155" i="26"/>
  <c r="H139" i="26"/>
  <c r="G139" i="26"/>
  <c r="M8" i="26"/>
  <c r="H162" i="26"/>
  <c r="G162" i="26"/>
  <c r="E6" i="26"/>
  <c r="F124" i="26"/>
  <c r="D124" i="26"/>
  <c r="D7" i="26"/>
  <c r="D6" i="26" s="1"/>
  <c r="G124" i="26" l="1"/>
  <c r="H124" i="26"/>
  <c r="F6" i="26"/>
  <c r="C25" i="14"/>
  <c r="F50" i="14"/>
  <c r="E50" i="14"/>
  <c r="D50" i="14"/>
  <c r="C50" i="14"/>
  <c r="H49" i="14"/>
  <c r="H48" i="14"/>
  <c r="G48" i="14"/>
  <c r="H47" i="14"/>
  <c r="G47" i="14"/>
  <c r="H46" i="14"/>
  <c r="G46" i="14"/>
  <c r="H45" i="14"/>
  <c r="G45" i="14"/>
  <c r="C81" i="14"/>
  <c r="C93" i="14" s="1"/>
  <c r="E81" i="14"/>
  <c r="E93" i="14" s="1"/>
  <c r="G50" i="14" l="1"/>
  <c r="H50" i="14"/>
  <c r="G6" i="24"/>
  <c r="H7" i="22" l="1"/>
  <c r="G7" i="22"/>
  <c r="F6" i="24" l="1"/>
  <c r="H9" i="26"/>
  <c r="G9" i="26"/>
  <c r="H23" i="22"/>
  <c r="G23" i="22"/>
  <c r="P7" i="9" l="1"/>
  <c r="H7" i="26"/>
  <c r="G7" i="26"/>
  <c r="O7" i="9"/>
  <c r="F5" i="24"/>
  <c r="O121" i="9" l="1"/>
  <c r="P121" i="9"/>
  <c r="H71" i="14"/>
  <c r="G71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1" i="14"/>
  <c r="H12" i="14"/>
  <c r="H14" i="14"/>
  <c r="H17" i="14"/>
  <c r="H18" i="14"/>
  <c r="H19" i="14"/>
  <c r="H20" i="14"/>
  <c r="H21" i="14"/>
  <c r="H23" i="14"/>
  <c r="H24" i="14"/>
  <c r="H26" i="14"/>
  <c r="H29" i="14"/>
  <c r="H30" i="14"/>
  <c r="H32" i="14"/>
  <c r="H33" i="14"/>
  <c r="H35" i="14"/>
  <c r="H37" i="14"/>
  <c r="H38" i="14"/>
  <c r="H40" i="14"/>
  <c r="H41" i="14"/>
  <c r="H8" i="14" l="1"/>
  <c r="G18" i="14"/>
  <c r="G19" i="14"/>
  <c r="G20" i="14"/>
  <c r="G21" i="14"/>
  <c r="G10" i="14"/>
  <c r="G11" i="14"/>
  <c r="G12" i="14"/>
  <c r="G14" i="14"/>
  <c r="G17" i="14"/>
  <c r="G23" i="14"/>
  <c r="G24" i="14"/>
  <c r="G26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70" i="14"/>
  <c r="D70" i="14"/>
  <c r="E70" i="14"/>
  <c r="F70" i="14"/>
  <c r="G70" i="14" l="1"/>
  <c r="H70" i="14"/>
  <c r="D57" i="14"/>
  <c r="D52" i="14"/>
  <c r="C52" i="14"/>
  <c r="D64" i="14"/>
  <c r="E64" i="14"/>
  <c r="F64" i="14"/>
  <c r="C64" i="14"/>
  <c r="E57" i="14"/>
  <c r="F57" i="14"/>
  <c r="E52" i="14"/>
  <c r="F52" i="14"/>
  <c r="D22" i="14"/>
  <c r="E22" i="14"/>
  <c r="E42" i="14" s="1"/>
  <c r="C42" i="14"/>
  <c r="G64" i="14" l="1"/>
  <c r="G57" i="14"/>
  <c r="H52" i="14"/>
  <c r="G52" i="14"/>
  <c r="D42" i="14"/>
  <c r="F22" i="14"/>
  <c r="H22" i="14" s="1"/>
  <c r="H64" i="14"/>
  <c r="H57" i="14"/>
  <c r="C68" i="14"/>
  <c r="E68" i="14"/>
  <c r="D68" i="14"/>
  <c r="F68" i="14"/>
  <c r="D25" i="14"/>
  <c r="D16" i="14"/>
  <c r="F16" i="14" s="1"/>
  <c r="E16" i="14"/>
  <c r="C16" i="14"/>
  <c r="D9" i="14"/>
  <c r="E9" i="14"/>
  <c r="C9" i="14"/>
  <c r="G68" i="14" l="1"/>
  <c r="F42" i="14"/>
  <c r="H42" i="14" s="1"/>
  <c r="G22" i="14"/>
  <c r="F9" i="14"/>
  <c r="H9" i="14" s="1"/>
  <c r="D15" i="14"/>
  <c r="D31" i="14" s="1"/>
  <c r="D36" i="14" s="1"/>
  <c r="F25" i="14"/>
  <c r="C43" i="14"/>
  <c r="D43" i="14"/>
  <c r="F43" i="14" s="1"/>
  <c r="E15" i="14"/>
  <c r="E43" i="14"/>
  <c r="H16" i="14"/>
  <c r="H68" i="14"/>
  <c r="G16" i="14"/>
  <c r="E31" i="14" l="1"/>
  <c r="E36" i="14" s="1"/>
  <c r="E39" i="14" s="1"/>
  <c r="G42" i="14"/>
  <c r="G9" i="14"/>
  <c r="H25" i="14"/>
  <c r="G25" i="14"/>
  <c r="G43" i="14"/>
  <c r="H43" i="14"/>
  <c r="F31" i="14" l="1"/>
  <c r="F15" i="14"/>
  <c r="C15" i="14"/>
  <c r="D39" i="14" l="1"/>
  <c r="F39" i="14" s="1"/>
  <c r="G15" i="14"/>
  <c r="H15" i="14"/>
  <c r="H31" i="14"/>
  <c r="G31" i="14"/>
  <c r="C31" i="14"/>
  <c r="C36" i="14" l="1"/>
  <c r="C39" i="14" s="1"/>
  <c r="F36" i="14"/>
  <c r="H36" i="14" s="1"/>
  <c r="H39" i="14"/>
  <c r="G39" i="14"/>
  <c r="G36" i="14" l="1"/>
</calcChain>
</file>

<file path=xl/sharedStrings.xml><?xml version="1.0" encoding="utf-8"?>
<sst xmlns="http://schemas.openxmlformats.org/spreadsheetml/2006/main" count="1018" uniqueCount="533">
  <si>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</si>
  <si>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</si>
  <si>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</si>
  <si>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</si>
  <si>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</si>
  <si>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</si>
  <si>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</si>
  <si>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</si>
  <si>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</si>
  <si>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</si>
  <si>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</si>
  <si>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</si>
  <si>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</si>
  <si>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</si>
  <si>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</si>
  <si>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</si>
  <si>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</si>
  <si>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</si>
  <si>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</si>
  <si>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</si>
  <si>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</si>
  <si>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</si>
  <si>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</si>
  <si>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</si>
  <si>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</si>
  <si>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</si>
  <si>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</si>
  <si>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</si>
  <si>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</si>
  <si>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</si>
  <si>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</si>
  <si>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</si>
  <si>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</si>
  <si>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</si>
  <si>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</si>
  <si>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</si>
  <si>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</si>
  <si>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</si>
  <si>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</si>
  <si>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</si>
  <si>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</si>
  <si>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</si>
  <si>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</si>
  <si>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</si>
  <si>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</si>
  <si>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</si>
  <si>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</si>
  <si>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</si>
  <si>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</si>
  <si>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</si>
  <si>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</si>
  <si>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</si>
  <si>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</si>
  <si>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</si>
  <si>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</si>
  <si>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</si>
  <si>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</si>
  <si>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</si>
  <si>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</si>
  <si>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</si>
  <si>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</si>
  <si>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</si>
  <si>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</si>
  <si>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</si>
  <si>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</si>
  <si>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</si>
  <si>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</si>
  <si>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</si>
  <si>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</si>
  <si>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</si>
  <si>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</si>
  <si>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</si>
  <si>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</si>
  <si>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</si>
  <si>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</si>
  <si>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</si>
  <si>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</si>
  <si>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</si>
  <si>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</si>
  <si>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</si>
  <si>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</si>
  <si>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</si>
  <si>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</si>
  <si>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</si>
  <si>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</si>
  <si>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</si>
  <si>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</si>
  <si>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</si>
  <si>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</si>
  <si>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</si>
  <si>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</si>
  <si>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</si>
  <si>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</si>
  <si>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</si>
  <si>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</si>
  <si>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</si>
  <si>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</si>
  <si>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</si>
  <si>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</si>
  <si>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</si>
  <si>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</si>
  <si>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</si>
  <si>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</si>
  <si>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</si>
  <si>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</si>
  <si>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</si>
  <si>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</si>
  <si>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</si>
  <si>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</si>
  <si>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</si>
  <si>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</si>
  <si>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</si>
  <si>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</si>
  <si>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</si>
  <si>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</si>
  <si>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</si>
  <si>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</si>
  <si>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</si>
  <si>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</si>
  <si>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</si>
  <si>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</si>
  <si>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</si>
  <si>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</si>
  <si>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</si>
  <si>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</si>
  <si>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</si>
  <si>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</si>
  <si>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</si>
  <si>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</si>
  <si>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</si>
  <si>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</si>
  <si>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</si>
  <si>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</si>
  <si>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</si>
  <si>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</si>
  <si>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</si>
  <si>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</si>
  <si>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</si>
  <si>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</si>
  <si>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</si>
  <si>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</si>
  <si>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</si>
  <si>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</si>
  <si>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</si>
  <si>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</si>
  <si>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</si>
  <si>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</si>
  <si>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</si>
  <si>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</si>
  <si>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</si>
  <si>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</si>
  <si>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</si>
  <si>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</si>
  <si>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</si>
  <si>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</si>
  <si>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</si>
  <si>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</si>
  <si>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</si>
  <si>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</si>
  <si>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</si>
  <si>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</si>
  <si>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</si>
  <si>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</si>
  <si>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</si>
  <si>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</si>
  <si>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</si>
  <si>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</si>
  <si>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</si>
  <si>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</si>
  <si>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</si>
  <si>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</si>
  <si>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</si>
  <si>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>паливно-мастильні матеріали</t>
  </si>
  <si>
    <t>ремонт та технічне обслуговування немедичного обладнання</t>
  </si>
  <si>
    <t>податок на додану вартість</t>
  </si>
  <si>
    <t>витратні матеріали для хворих на цукровий діабет</t>
  </si>
  <si>
    <t>медикаменти та перв'язувальні матеріали</t>
  </si>
  <si>
    <t xml:space="preserve">оплата електроенергії </t>
  </si>
  <si>
    <t xml:space="preserve">вивіз  сміття </t>
  </si>
  <si>
    <t>9.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</si>
  <si>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</si>
  <si>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</si>
  <si>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</si>
  <si>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</si>
  <si>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</si>
  <si>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</si>
  <si>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</si>
  <si>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</si>
  <si>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</si>
  <si>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</si>
  <si>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</si>
  <si>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</si>
  <si>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</si>
  <si>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</si>
  <si>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ПДВ</t>
  </si>
  <si>
    <t xml:space="preserve">пільгова пенсія 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</si>
  <si>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</si>
  <si>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</si>
  <si>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</si>
  <si>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 xml:space="preserve">Благодійна допомога в грошовому еквіваленті </t>
  </si>
  <si>
    <t xml:space="preserve">медикаменти та перевязувальні матеріали 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</si>
  <si>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</si>
  <si>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</si>
  <si>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 xml:space="preserve"> </t>
  </si>
  <si>
    <t>Кошти бюджету ВМТГ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</si>
  <si>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</si>
  <si>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</si>
  <si>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</si>
  <si>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 xml:space="preserve">публікація в газеті </t>
  </si>
  <si>
    <t>Директор КНП "ВМКЛ"ЦМтаД"</t>
  </si>
  <si>
    <t>Кошти бюджету ВМТГ (залишки минулих періодів)</t>
  </si>
  <si>
    <t>Директор КНП"ВМКЛ"ЦМтаД"</t>
  </si>
  <si>
    <r>
      <t>Директор КНП 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</si>
  <si>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</si>
  <si>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</si>
  <si>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</si>
  <si>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 xml:space="preserve">ДБЖ PowerWalker VFI 1000    </t>
  </si>
  <si>
    <t xml:space="preserve">Гініометр медичний 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</si>
  <si>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Синьоводська, 142</t>
  </si>
  <si>
    <t xml:space="preserve">адвокатські послуги </t>
  </si>
  <si>
    <t xml:space="preserve">Кошти від надання платних послуг 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</si>
  <si>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</si>
  <si>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</si>
  <si>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</si>
  <si>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 xml:space="preserve">банківські послуги </t>
  </si>
  <si>
    <t xml:space="preserve">дослідження води </t>
  </si>
  <si>
    <t>адміністративні послуги</t>
  </si>
  <si>
    <t xml:space="preserve">утилізація медичних відходів </t>
  </si>
  <si>
    <t>1.3.4.</t>
  </si>
  <si>
    <t xml:space="preserve">нарахування амортизації на безоплатно отримані активи </t>
  </si>
  <si>
    <t xml:space="preserve">кошти від надання платних послуг </t>
  </si>
  <si>
    <t xml:space="preserve">ремонт та технічне обслуговування медичного обладання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</si>
  <si>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</si>
  <si>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</si>
  <si>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 xml:space="preserve">куросурфи </t>
  </si>
  <si>
    <t>11.</t>
  </si>
  <si>
    <t xml:space="preserve">земельний податок </t>
  </si>
  <si>
    <t>1.2.1.</t>
  </si>
  <si>
    <t>зберігання архівної документації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</si>
  <si>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</si>
  <si>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</si>
  <si>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</si>
  <si>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інформаційно-консультаційні послуги </t>
  </si>
  <si>
    <t xml:space="preserve">оцінка майна </t>
  </si>
  <si>
    <t>Інші джерела (НСЗУ, гуманітарна допомога,централізовані поставки)</t>
  </si>
  <si>
    <t xml:space="preserve">Капітальний ремонт </t>
  </si>
  <si>
    <t>дератизація та дезинфекція</t>
  </si>
  <si>
    <t>витрати на відрядження</t>
  </si>
  <si>
    <t>пільгова пенсія</t>
  </si>
  <si>
    <t xml:space="preserve">оплата природного газу </t>
  </si>
  <si>
    <t xml:space="preserve">оплата прирордного газу </t>
  </si>
  <si>
    <t xml:space="preserve">витрати на відрядження </t>
  </si>
  <si>
    <t xml:space="preserve">інструментальні дослідження </t>
  </si>
  <si>
    <t>Апарат ШВЛ Savina 300</t>
  </si>
  <si>
    <t xml:space="preserve">ДБЖ PowerWalker VFI 1000 </t>
  </si>
  <si>
    <t xml:space="preserve">Стетоскоп  </t>
  </si>
  <si>
    <t xml:space="preserve">обслуговування ліфтів </t>
  </si>
  <si>
    <t>лабораторні дослідження</t>
  </si>
  <si>
    <t xml:space="preserve">оцінка енергоефективності </t>
  </si>
  <si>
    <t>інструментальні дослідження</t>
  </si>
  <si>
    <t>5.1.</t>
  </si>
  <si>
    <t>5.</t>
  </si>
  <si>
    <t>5.1.1</t>
  </si>
  <si>
    <t>6.</t>
  </si>
  <si>
    <t>6.1.</t>
  </si>
  <si>
    <t>7.</t>
  </si>
  <si>
    <t>8.</t>
  </si>
  <si>
    <t>8.2.</t>
  </si>
  <si>
    <t>8.2.1.</t>
  </si>
  <si>
    <t xml:space="preserve">  </t>
  </si>
  <si>
    <t>дохід від оприбуткування вторсировини (металобрухт, медичних відходів)</t>
  </si>
  <si>
    <t>Капітальний ремонт укриття будівлі пологового будинку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</si>
  <si>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санітарно-гігєнічне дослідження факторів виробничого середовища</t>
  </si>
  <si>
    <t>страхування цивільної відповідальності власників транспортних засобів</t>
  </si>
  <si>
    <t xml:space="preserve">повірка медичного обладнання </t>
  </si>
  <si>
    <t>медикаменти 2019-n CoV, предмети матеріали обладнання (в т.ч. медичного) та інвентарю</t>
  </si>
  <si>
    <t xml:space="preserve">страхування цивільно-праової відповідальності власників транспортних засобів </t>
  </si>
  <si>
    <t>санітарно-гігієнічне дослідження факторів виробничого середовища</t>
  </si>
  <si>
    <t xml:space="preserve">Транспортна каталка Stryker   </t>
  </si>
  <si>
    <t xml:space="preserve">Отоскоп / Офтальмоскоп Welch Allun  </t>
  </si>
  <si>
    <t xml:space="preserve">Генератор Kraftwele SDG18000S-A з вмонтованим контролером AVR </t>
  </si>
  <si>
    <t xml:space="preserve">Система редукування тиску кисню        </t>
  </si>
  <si>
    <t xml:space="preserve">GE Аналізатор електролітів K+, Na+, Cl-, Ca2+, pH, Ref      </t>
  </si>
  <si>
    <t xml:space="preserve">Інкубатор GE Incubator Giraffe Omnibed                                  </t>
  </si>
  <si>
    <t xml:space="preserve">neoBLUE cozy LED Phototherapy   </t>
  </si>
  <si>
    <t xml:space="preserve">Монітор пацієнта портативний з доступом (12 шт)    </t>
  </si>
  <si>
    <t>Інкубатор GE Incubator Giraffe Omnibed</t>
  </si>
  <si>
    <t xml:space="preserve">Апарат ШВЛ для новонароджених та дітей DRAGER Babylog VN500 з комплектуючими                                   </t>
  </si>
  <si>
    <t xml:space="preserve">активна </t>
  </si>
  <si>
    <t xml:space="preserve">Набір отоскопів у футлярі  </t>
  </si>
  <si>
    <t xml:space="preserve">Лічильник х/в Ду 25(мактохолод)   </t>
  </si>
  <si>
    <t xml:space="preserve">Баня лабораторна водяна ВБ-4            </t>
  </si>
  <si>
    <t xml:space="preserve">Возик для прибирання б/у                                                                                                                                                                                </t>
  </si>
  <si>
    <t xml:space="preserve">Масажний столик складний                                             </t>
  </si>
  <si>
    <t xml:space="preserve">Блок живлення  </t>
  </si>
  <si>
    <t>Датчик температури дихальних шляхів Fisher &amp; Paykel</t>
  </si>
  <si>
    <t>Конектор центральної системи кисню</t>
  </si>
  <si>
    <t xml:space="preserve">Електрочайник Gallet BOU701R           </t>
  </si>
  <si>
    <t xml:space="preserve">Праска Philips 5000 Series DST5040/80            </t>
  </si>
  <si>
    <t xml:space="preserve">Дошка для прасування Eurogold 120*38см   </t>
  </si>
  <si>
    <t>Диспенсер для рушників</t>
  </si>
  <si>
    <t>Каталка для миття лежачих</t>
  </si>
  <si>
    <t xml:space="preserve">Крісло для збору крові   </t>
  </si>
  <si>
    <t>Акумуляторний налобний ліхтарик Ledlenser H8R для хірург.операцій у разі відключення електрики</t>
  </si>
  <si>
    <t xml:space="preserve">Перетворювач 220-110V 450W    </t>
  </si>
  <si>
    <t xml:space="preserve">Камера для зволожувача   </t>
  </si>
  <si>
    <t xml:space="preserve">Диван 2-х місний     </t>
  </si>
  <si>
    <t xml:space="preserve">Кушетка медична б/в    </t>
  </si>
  <si>
    <t xml:space="preserve">Точка доступа Ubsgusts UnsFs AC LR (вай фай)   </t>
  </si>
  <si>
    <t xml:space="preserve">Камера Стерил.бокс"Стандарт"        </t>
  </si>
  <si>
    <t xml:space="preserve">Стіл інструментальний СІ-5               </t>
  </si>
  <si>
    <t xml:space="preserve">Тонометр внутр.тиску по Маклакову        </t>
  </si>
  <si>
    <t xml:space="preserve">Машина сушильна           </t>
  </si>
  <si>
    <t xml:space="preserve">Ультразвукові ножиці багаторазові HD-RC-D03         </t>
  </si>
  <si>
    <t xml:space="preserve">Дитяче лікарняне ліжко Buddy L-T    </t>
  </si>
  <si>
    <t xml:space="preserve">Ліжко для новонароджених NP-50 </t>
  </si>
  <si>
    <t xml:space="preserve">Обтуратор оптичний(набір до гістерорезектоскопу)    </t>
  </si>
  <si>
    <t xml:space="preserve">Кабель високочастотний(набір до гістерорезектоскопу) </t>
  </si>
  <si>
    <t xml:space="preserve">Пральна машина вузька INDESIT OMTWSE 61051 WK EU   </t>
  </si>
  <si>
    <t xml:space="preserve">Ширма розділювач з лого 5-ти секційна          </t>
  </si>
  <si>
    <t xml:space="preserve">Мережеве сховище SYNOLOGY NAS DS+Series 8 TB HDD    </t>
  </si>
  <si>
    <t xml:space="preserve">Кольпоскоп МК-200 з відеосистемою (230232)           </t>
  </si>
  <si>
    <t xml:space="preserve">Інструмент для фототерапії </t>
  </si>
  <si>
    <t xml:space="preserve">Зволожувач  </t>
  </si>
  <si>
    <t>Холодильник для вакцин</t>
  </si>
  <si>
    <t>Інкубатор для перевезення немовлят (комплект кисневих балонів, змін акумулят.та дроти, АШВЛ, візок,носилки)</t>
  </si>
  <si>
    <t>Генератор FLMFRAA 300 OTO/ KB/JN 240kW/300kVA/50 Hz/Engine:FORD/9G30/Diesel,Voitage 400/231 V,650 I fuel tank з набором для інсталяції</t>
  </si>
  <si>
    <t xml:space="preserve">Електрокоагулятор високочастотний зварювальний МАРК АІ в комплекті </t>
  </si>
  <si>
    <t xml:space="preserve">Тестер бактерицидних ламп УФ-радіометр,ТЕНЗОР-71Б(з калібруванням)   </t>
  </si>
  <si>
    <t xml:space="preserve">Лапароскоп  </t>
  </si>
  <si>
    <t xml:space="preserve">Мікроскоп серії BioBlue              </t>
  </si>
  <si>
    <t xml:space="preserve">Мікроскоп серії BioBlue BB/4260    </t>
  </si>
  <si>
    <t xml:space="preserve">Апврат штучної вентиляції легень Savina 300     </t>
  </si>
  <si>
    <t xml:space="preserve">Датчик конвексний RAB2-5-D           </t>
  </si>
  <si>
    <t xml:space="preserve">Ендоскоп(до набору гістерорезектоскопу)       </t>
  </si>
  <si>
    <t xml:space="preserve">Робочий елемент,пасивний(до набору гістерорезектоскопу)   </t>
  </si>
  <si>
    <t>Реконструкція мереж електропостачання будівлі стаціонару (літера Л) та будівлі пологового будинку (літера В) з влаштуванням дизель-генератора для забезпечення резервного живлення в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</si>
  <si>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Капітальний ремонт Монтаж та налагодження системи пожежної сигналізації, кнрування евакуюванням (в частині мовленнєвого оповіщення про пожежу), централізованого пожежного спостерігання на обєкті: Будівля пологового будинку ( літ.В) (1-3 поверх)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</si>
  <si>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Реконструкція частини покрівлі будівлі лікарні (літера Л) з влаштуванням сонячної електростанції КНП "ВМКЛ "ЦМтаД" по вул.Синьоводській, 142 (заходи з енергозбереження)</t>
  </si>
  <si>
    <t>Бюджетне фінансування (міський бюджет, державний бюджет)</t>
  </si>
  <si>
    <t>страхування майна</t>
  </si>
  <si>
    <t>проведення наглядового аудиту сертифікації управління якістю</t>
  </si>
  <si>
    <t>оцінка енергоефективності</t>
  </si>
  <si>
    <t xml:space="preserve">профвнески </t>
  </si>
  <si>
    <t>2.2.</t>
  </si>
  <si>
    <t>2.2.1</t>
  </si>
  <si>
    <t>2.2.2</t>
  </si>
  <si>
    <t>2.3.1</t>
  </si>
  <si>
    <t>Кошти від надання платних послуг (запаси минулих періодів)</t>
  </si>
  <si>
    <t>4.</t>
  </si>
  <si>
    <t>4.2.1</t>
  </si>
  <si>
    <t>10.</t>
  </si>
  <si>
    <t>10.1.1</t>
  </si>
  <si>
    <t>11.2.1</t>
  </si>
  <si>
    <t xml:space="preserve"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"Центр матері та дитини"
за 9 місяців 2024 року </t>
  </si>
  <si>
    <t>план за 9 місяців
2024 року</t>
  </si>
  <si>
    <t>факт 
за 9 місяців 2024 року</t>
  </si>
  <si>
    <t>Факт                   за 9 місяців 2023 рік</t>
  </si>
  <si>
    <t>План 
за 9 місяців 2024 рік</t>
  </si>
  <si>
    <t>Факт 
за 9 місяців 2024 рік</t>
  </si>
  <si>
    <t>План 
за  9 місяців 2024 рік</t>
  </si>
  <si>
    <t>Факт 
за  9 місяців 2024 рік</t>
  </si>
  <si>
    <t>за 9 місяців  2023 рік</t>
  </si>
  <si>
    <t>за 9 місяців 2024 рік</t>
  </si>
  <si>
    <t>Звітний за 9 місяців 2024 рік</t>
  </si>
  <si>
    <t xml:space="preserve">підготовка системи опалення до опалювального сезону </t>
  </si>
  <si>
    <t xml:space="preserve">проведення поточних ремонтів </t>
  </si>
  <si>
    <t>медикаменти 2019-n COV, предмети матеріали обладнання (в т.ч.ч медичного) та інвентраю</t>
  </si>
  <si>
    <t xml:space="preserve">адміністративні послуги </t>
  </si>
  <si>
    <t>Благодійна допомога в натуральній формі (залишки минулих періодів)</t>
  </si>
  <si>
    <t>за 9 місяців 2023 року</t>
  </si>
  <si>
    <t>за 9 місяців 2024 року</t>
  </si>
  <si>
    <t xml:space="preserve">Тренажер G14 для вібротерапії з поручнем (в комплекті бруси для відновлення навиків ходьби з перешкодами Т/У)                                                                                           </t>
  </si>
  <si>
    <t xml:space="preserve">Пристрій для реабілітації MOTOmed loop.la для ніг та рук </t>
  </si>
  <si>
    <t xml:space="preserve">Програмно-технічний комплекс "Тімоко" для осіб з фізичними вадами                                                                                                                                       </t>
  </si>
  <si>
    <t xml:space="preserve">Система обігріву пацієнта ІНС-2000 CosyTherm2     </t>
  </si>
  <si>
    <t xml:space="preserve">Система ультразвукова діагностична APLIO a (CUS-AA000/WC) </t>
  </si>
  <si>
    <t xml:space="preserve">Медичне ліжко Avanguard 1200        </t>
  </si>
  <si>
    <t xml:space="preserve">Мікрохвильова піч ERGO EM-2075      </t>
  </si>
  <si>
    <t xml:space="preserve">Сфігмоманометр, Babyphon, 1 трубка, з 3 манжетами 5/7/10 см </t>
  </si>
  <si>
    <t xml:space="preserve">Стетоскоп неонатальний (двоголовий нагрудник) (5 шт)  </t>
  </si>
  <si>
    <t>Стетоскоп дитячий (двоголовий нагрудник)  (6 шт)</t>
  </si>
  <si>
    <t xml:space="preserve">Полиця  </t>
  </si>
  <si>
    <t xml:space="preserve">Регулятор швидкості потока кисню (Флоуметр-DIN)        </t>
  </si>
  <si>
    <t xml:space="preserve">Комод на 4 шухляди "CAT" 940х450х390 мм, сірий                                                                                                                                                          </t>
  </si>
  <si>
    <t xml:space="preserve">Ваги підлогові електронні SCARLETT SC-BS33E077 йога коти                                                                                                                                                </t>
  </si>
  <si>
    <t xml:space="preserve">Диспенсер для дезінфекції рук (ручний, ліктєвий) 1л                                                                                                                                                     </t>
  </si>
  <si>
    <t xml:space="preserve">Дозатор ліктьовий 1л, 9,4*10*25 см, хром   </t>
  </si>
  <si>
    <t xml:space="preserve">Роздавальник складн. паперов. рушників білий V-620                                                                                                                                                      </t>
  </si>
  <si>
    <t xml:space="preserve">Киснева розетка стандартна DIN          </t>
  </si>
  <si>
    <t xml:space="preserve">Подушка стьобана екопух 60х60 з чохлом  (30 шт)      </t>
  </si>
  <si>
    <t xml:space="preserve">Стіл комп'ютерний        </t>
  </si>
  <si>
    <t xml:space="preserve">Ролети Льон 0875 (молочні)                                                                                                                                                                              </t>
  </si>
  <si>
    <t xml:space="preserve">Ролети 12 ВН-1203 (день-ніч)    </t>
  </si>
  <si>
    <t xml:space="preserve">Ролети Лазур 2070 (рожеві)  </t>
  </si>
  <si>
    <t xml:space="preserve">Автоматичний перемикач (блок ATS)                                                                                                                                                                       </t>
  </si>
  <si>
    <t xml:space="preserve">Стерилізатор паровий, 39 л                         </t>
  </si>
  <si>
    <t xml:space="preserve">Набір Embrace Nest Infant Warmer (starter pack, baby trap and warm pack) (конверт з підігрівом) </t>
  </si>
  <si>
    <t xml:space="preserve">Крісло-реклайнер із шкірозамінника Jeff чорне </t>
  </si>
  <si>
    <t xml:space="preserve">Інфузійний насос з аксесуарами   </t>
  </si>
  <si>
    <t xml:space="preserve">Отоскоп, набір                 </t>
  </si>
  <si>
    <t xml:space="preserve">Пульсоксиметр портативний постійний з частотою дихання </t>
  </si>
  <si>
    <t xml:space="preserve">Шприцевий насос з аксесуарами    </t>
  </si>
  <si>
    <t xml:space="preserve">Ваги мати/дитина, 150 кг, на батарейці           </t>
  </si>
  <si>
    <t xml:space="preserve">Сфігроманометр  (13 шт)              </t>
  </si>
  <si>
    <t xml:space="preserve">Стетоскоп    </t>
  </si>
  <si>
    <t xml:space="preserve">Стерилізатор паровий, 24 л   </t>
  </si>
  <si>
    <t xml:space="preserve">Стетоскоп, бінауральний, повний     </t>
  </si>
  <si>
    <t xml:space="preserve">Інкубатор для немовлят Embrace Nest Infant Warmer   </t>
  </si>
  <si>
    <t xml:space="preserve">Оглядове гінекологічне крісло б/в    </t>
  </si>
  <si>
    <t xml:space="preserve">Дозатор механічний одноканальний Proline 10-100 мкл.   </t>
  </si>
  <si>
    <t xml:space="preserve">Подушка    (30 шт)       </t>
  </si>
  <si>
    <t xml:space="preserve">Ультразвуковий зволожувач повітря H2O Humidifier 500мл </t>
  </si>
  <si>
    <t xml:space="preserve">Крісло для перевезення         </t>
  </si>
  <si>
    <t xml:space="preserve">Крісла туалети      </t>
  </si>
  <si>
    <t xml:space="preserve">Комод      </t>
  </si>
  <si>
    <t xml:space="preserve">Матраци Sogum MS-50 </t>
  </si>
  <si>
    <t xml:space="preserve">Системний блок </t>
  </si>
  <si>
    <t xml:space="preserve">Шафа для одягу  </t>
  </si>
  <si>
    <t xml:space="preserve">Шафа з полицями   </t>
  </si>
  <si>
    <t xml:space="preserve">Глюкометр 300 тест і ланцети 1 МОДУЛЬ      </t>
  </si>
  <si>
    <t xml:space="preserve">Отоскоп, набір </t>
  </si>
  <si>
    <t xml:space="preserve">Дитяче ліжко б/в    </t>
  </si>
  <si>
    <t xml:space="preserve">Матрац дитячий </t>
  </si>
  <si>
    <t xml:space="preserve">страхування майна </t>
  </si>
  <si>
    <t xml:space="preserve">Апарат ШВЛ Savina 300                  </t>
  </si>
  <si>
    <t xml:space="preserve">Стілець б/у               </t>
  </si>
  <si>
    <t xml:space="preserve">Тубус зовнішній(до набору гістерорезектоскопу)        </t>
  </si>
  <si>
    <t xml:space="preserve">Обтуратор зовнішній,з рухомою робочою частиною(набір до гістерорезектоскоп)  </t>
  </si>
  <si>
    <t xml:space="preserve">Тубус внутрішній(набір до гістерорезектоскопу)                                                                                                                                                          </t>
  </si>
  <si>
    <t xml:space="preserve">Обтуратор внутрішній,з рухомою робочою частиною(набір до гістерорезектоскопу)  </t>
  </si>
  <si>
    <t xml:space="preserve">Мікрохвильова пч Edler ED-2068C   </t>
  </si>
  <si>
    <t xml:space="preserve">Стелаж 6-ти секційний (в реєстратуру)            </t>
  </si>
  <si>
    <t xml:space="preserve">Стіл комп"ютерний      </t>
  </si>
  <si>
    <t xml:space="preserve">Бактерицидний рециркулятор    </t>
  </si>
  <si>
    <t xml:space="preserve">Телевізор бу       </t>
  </si>
  <si>
    <t xml:space="preserve">Акумуляторна батарея 108 045 45Ah/12V               </t>
  </si>
  <si>
    <t xml:space="preserve">Апарат бактерицидної дії УФІТ-СМ   </t>
  </si>
  <si>
    <t xml:space="preserve">Шафа для вентиляційної системи      </t>
  </si>
  <si>
    <t xml:space="preserve">Біполярний затискач                          </t>
  </si>
  <si>
    <t xml:space="preserve">Електрична шафа                                     </t>
  </si>
  <si>
    <t xml:space="preserve">Резервуар випаровувача                            </t>
  </si>
  <si>
    <t xml:space="preserve">Набір терморегулятора С2000                                                  </t>
  </si>
  <si>
    <t xml:space="preserve">Диван-ліжко (Сірий,198*84)   </t>
  </si>
  <si>
    <t xml:space="preserve">Шафа для паперів            </t>
  </si>
  <si>
    <t xml:space="preserve">Вогнегасник порошковий ОП-6       </t>
  </si>
  <si>
    <t>Кольпоскоп МК-200 з відеосистемою та варіоб"єктивом f=200-400мм(230231</t>
  </si>
  <si>
    <t xml:space="preserve">Комутатор Cisco CBS 220 48*GE      </t>
  </si>
  <si>
    <t xml:space="preserve">Комутатор Cisco 24*10/100/1000            </t>
  </si>
  <si>
    <t xml:space="preserve">Електротерапевтичний прилад StimRehab2 MT 2200      </t>
  </si>
  <si>
    <t xml:space="preserve">Апарат для міостимуляції АУСЕ-01 (8-канальний)     </t>
  </si>
  <si>
    <t xml:space="preserve">Інфузійний насос BeneFusion uVP              </t>
  </si>
  <si>
    <t xml:space="preserve">Коагулятор медичний ендоскопічний електричний RO-ESU400          </t>
  </si>
  <si>
    <t xml:space="preserve">Візок мобільний регульваний по висоті для пересування системи з можливістю підключення трьох датчиків для Versana Active      </t>
  </si>
  <si>
    <t xml:space="preserve">Пральна машина </t>
  </si>
  <si>
    <t xml:space="preserve">Стелаж для бутильованої води 2*0,7*2м </t>
  </si>
  <si>
    <t>Стелаж для бутильованої води 1,2*0,7*2м</t>
  </si>
  <si>
    <t>Стелаж для продуктів харчування 2*1,0*2м</t>
  </si>
  <si>
    <t>Розкладний портативний пандус</t>
  </si>
  <si>
    <t>Ножиці лапароскопічні, 5*330мм, вигнуті, з двома рухомими браншами  (6 шт)</t>
  </si>
  <si>
    <t xml:space="preserve">Реабілітаційне ліжко б/у (10 шт)   </t>
  </si>
  <si>
    <t xml:space="preserve">Стілець б/у (21 шт)              </t>
  </si>
  <si>
    <t>Тумба приліжкова  (6 шт)</t>
  </si>
  <si>
    <t xml:space="preserve">Матрац б/у  (10 шт)         </t>
  </si>
  <si>
    <t xml:space="preserve">Стільці б/в (5 шт)         </t>
  </si>
  <si>
    <t>Електрод петля(до набору гістерорезектоскопу)  (8 шт)</t>
  </si>
  <si>
    <t xml:space="preserve">Тумба прикроватна (15 шт)                       </t>
  </si>
  <si>
    <t xml:space="preserve">Софа офісна(помаранчева) (11 шт)             </t>
  </si>
  <si>
    <t xml:space="preserve">Блок живлення до системних IP телефонів (14 шт)         </t>
  </si>
  <si>
    <t xml:space="preserve">Простирадло 1-но спальне б/в (67 шт)                                                                                                                                                                           </t>
  </si>
  <si>
    <t xml:space="preserve">Простирадло 2-х спальне б/в  (113 шт)     </t>
  </si>
  <si>
    <t xml:space="preserve">Підковдра 1,2*2,0 б/в (8 шт)           </t>
  </si>
  <si>
    <t xml:space="preserve">Рушники кухонні б/в (30 шт)          </t>
  </si>
  <si>
    <t xml:space="preserve">Кушетка медична б/в (7 шт)              </t>
  </si>
  <si>
    <t xml:space="preserve">Ліжко 1900*900*450мм з матрацом (25 шт) </t>
  </si>
  <si>
    <t>Шафа для одягу 2000*1000*500мм (15 шт)</t>
  </si>
  <si>
    <t>Столик пеленальний з матрацом та полицями  (16 шт)</t>
  </si>
  <si>
    <t>Кухонний набір в палату 2700*600*850мм (в комплекті з мийками та змішувачами) (15 шт)</t>
  </si>
  <si>
    <t xml:space="preserve">Стіл кухонний 1000*600*750мм на квадратних ногах (15 шт)      </t>
  </si>
  <si>
    <t xml:space="preserve">Табурет на металевому каркасі  (30 шт)                                                                                                                                                                         </t>
  </si>
  <si>
    <t xml:space="preserve">Апарат штучної вентиляції легень Savina 300     </t>
  </si>
  <si>
    <t xml:space="preserve">обладнання для укриття </t>
  </si>
  <si>
    <t>меблі для укриття</t>
  </si>
  <si>
    <t>Капітальний ремонт приміщень п`ятого поверху з заміною інженерних мереж будівлі пологового будинку (літера В)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</t>
  </si>
  <si>
    <t xml:space="preserve">експертний висновок </t>
  </si>
  <si>
    <t>оцінка майна</t>
  </si>
  <si>
    <t>Модернізація, модифікація (добудова, дообладнання, реконструкція) основних засобів (розшифрувати)</t>
  </si>
  <si>
    <t>3.1.2</t>
  </si>
  <si>
    <t>3.2</t>
  </si>
  <si>
    <t>3.2.1</t>
  </si>
  <si>
    <t>9.1.2</t>
  </si>
  <si>
    <t>9.1.3</t>
  </si>
  <si>
    <t>4.2.2</t>
  </si>
  <si>
    <t>4.2</t>
  </si>
  <si>
    <t>4.1</t>
  </si>
  <si>
    <t>Медичний ендоскопвчний електричний коогулятор</t>
  </si>
  <si>
    <t>Мікроскоп монокуляний</t>
  </si>
  <si>
    <t xml:space="preserve">Мікроскоп бінокулярний </t>
  </si>
  <si>
    <t>4.1.1</t>
  </si>
  <si>
    <t>4.1.2</t>
  </si>
  <si>
    <t>2.1</t>
  </si>
  <si>
    <t>2.1.1</t>
  </si>
  <si>
    <t>2.1.2</t>
  </si>
  <si>
    <t>2.1.3</t>
  </si>
  <si>
    <t>2.1.4</t>
  </si>
  <si>
    <t>2.1.5</t>
  </si>
  <si>
    <t>2.3</t>
  </si>
  <si>
    <t>3.1</t>
  </si>
  <si>
    <t>3.1.1</t>
  </si>
  <si>
    <t>6.1.1</t>
  </si>
  <si>
    <t>7.1</t>
  </si>
  <si>
    <t>7.1.1</t>
  </si>
  <si>
    <t>7.2</t>
  </si>
  <si>
    <t>7.2.1</t>
  </si>
  <si>
    <t>9.1</t>
  </si>
  <si>
    <t>9.1.1</t>
  </si>
  <si>
    <t>9.2</t>
  </si>
  <si>
    <t>9.2.1</t>
  </si>
  <si>
    <t>9.2.2</t>
  </si>
  <si>
    <t>10.1</t>
  </si>
  <si>
    <t>11.1</t>
  </si>
  <si>
    <t>11.1.1</t>
  </si>
  <si>
    <t>11.1.2</t>
  </si>
  <si>
    <t>11.1.3</t>
  </si>
  <si>
    <t>11.2</t>
  </si>
  <si>
    <t>11.2.2</t>
  </si>
  <si>
    <t>11.3</t>
  </si>
  <si>
    <t>11.3.1</t>
  </si>
  <si>
    <t>12.</t>
  </si>
  <si>
    <t>12.1</t>
  </si>
  <si>
    <t>12.1.1</t>
  </si>
  <si>
    <t>12.2</t>
  </si>
  <si>
    <t>12.2.1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</si>
</sst>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</numFmts>
  <fonts count="96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0"/>
      <color theme="10"/>
      <name val="Arial Cyr"/>
      <charset val="204"/>
    </font>
    <font>
      <sz val="12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sz val="14"/>
      <color indexed="8"/>
      <name val="Calibri"/>
      <family val="2"/>
      <charset val="204"/>
    </font>
    <font>
      <sz val="14"/>
      <color indexed="17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57"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26" fillId="2" borderId="0" applyNumberFormat="0" applyBorder="0" applyAlignment="0" applyProtection="0"/>
    <xf numFmtId="0" fontId="3" fillId="2" borderId="0" applyNumberFormat="0" applyBorder="0" applyAlignment="0" applyProtection="0"/>
    <xf numFmtId="0" fontId="26" fillId="3" borderId="0" applyNumberFormat="0" applyBorder="0" applyAlignment="0" applyProtection="0"/>
    <xf numFmtId="0" fontId="3" fillId="3" borderId="0" applyNumberFormat="0" applyBorder="0" applyAlignment="0" applyProtection="0"/>
    <xf numFmtId="0" fontId="26" fillId="4" borderId="0" applyNumberFormat="0" applyBorder="0" applyAlignment="0" applyProtection="0"/>
    <xf numFmtId="0" fontId="3" fillId="4" borderId="0" applyNumberFormat="0" applyBorder="0" applyAlignment="0" applyProtection="0"/>
    <xf numFmtId="0" fontId="26" fillId="5" borderId="0" applyNumberFormat="0" applyBorder="0" applyAlignment="0" applyProtection="0"/>
    <xf numFmtId="0" fontId="3" fillId="5" borderId="0" applyNumberFormat="0" applyBorder="0" applyAlignment="0" applyProtection="0"/>
    <xf numFmtId="0" fontId="26" fillId="6" borderId="0" applyNumberFormat="0" applyBorder="0" applyAlignment="0" applyProtection="0"/>
    <xf numFmtId="0" fontId="3" fillId="6" borderId="0" applyNumberFormat="0" applyBorder="0" applyAlignment="0" applyProtection="0"/>
    <xf numFmtId="0" fontId="26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26" fillId="8" borderId="0" applyNumberFormat="0" applyBorder="0" applyAlignment="0" applyProtection="0"/>
    <xf numFmtId="0" fontId="3" fillId="8" borderId="0" applyNumberFormat="0" applyBorder="0" applyAlignment="0" applyProtection="0"/>
    <xf numFmtId="0" fontId="26" fillId="9" borderId="0" applyNumberFormat="0" applyBorder="0" applyAlignment="0" applyProtection="0"/>
    <xf numFmtId="0" fontId="3" fillId="9" borderId="0" applyNumberFormat="0" applyBorder="0" applyAlignment="0" applyProtection="0"/>
    <xf numFmtId="0" fontId="26" fillId="10" borderId="0" applyNumberFormat="0" applyBorder="0" applyAlignment="0" applyProtection="0"/>
    <xf numFmtId="0" fontId="3" fillId="10" borderId="0" applyNumberFormat="0" applyBorder="0" applyAlignment="0" applyProtection="0"/>
    <xf numFmtId="0" fontId="26" fillId="5" borderId="0" applyNumberFormat="0" applyBorder="0" applyAlignment="0" applyProtection="0"/>
    <xf numFmtId="0" fontId="3" fillId="5" borderId="0" applyNumberFormat="0" applyBorder="0" applyAlignment="0" applyProtection="0"/>
    <xf numFmtId="0" fontId="26" fillId="8" borderId="0" applyNumberFormat="0" applyBorder="0" applyAlignment="0" applyProtection="0"/>
    <xf numFmtId="0" fontId="3" fillId="8" borderId="0" applyNumberFormat="0" applyBorder="0" applyAlignment="0" applyProtection="0"/>
    <xf numFmtId="0" fontId="26" fillId="11" borderId="0" applyNumberFormat="0" applyBorder="0" applyAlignment="0" applyProtection="0"/>
    <xf numFmtId="0" fontId="3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27" fillId="12" borderId="0" applyNumberFormat="0" applyBorder="0" applyAlignment="0" applyProtection="0"/>
    <xf numFmtId="0" fontId="9" fillId="12" borderId="0" applyNumberFormat="0" applyBorder="0" applyAlignment="0" applyProtection="0"/>
    <xf numFmtId="0" fontId="27" fillId="9" borderId="0" applyNumberFormat="0" applyBorder="0" applyAlignment="0" applyProtection="0"/>
    <xf numFmtId="0" fontId="9" fillId="9" borderId="0" applyNumberFormat="0" applyBorder="0" applyAlignment="0" applyProtection="0"/>
    <xf numFmtId="0" fontId="27" fillId="10" borderId="0" applyNumberFormat="0" applyBorder="0" applyAlignment="0" applyProtection="0"/>
    <xf numFmtId="0" fontId="9" fillId="10" borderId="0" applyNumberFormat="0" applyBorder="0" applyAlignment="0" applyProtection="0"/>
    <xf numFmtId="0" fontId="27" fillId="13" borderId="0" applyNumberFormat="0" applyBorder="0" applyAlignment="0" applyProtection="0"/>
    <xf numFmtId="0" fontId="9" fillId="13" borderId="0" applyNumberFormat="0" applyBorder="0" applyAlignment="0" applyProtection="0"/>
    <xf numFmtId="0" fontId="27" fillId="14" borderId="0" applyNumberFormat="0" applyBorder="0" applyAlignment="0" applyProtection="0"/>
    <xf numFmtId="0" fontId="9" fillId="14" borderId="0" applyNumberFormat="0" applyBorder="0" applyAlignment="0" applyProtection="0"/>
    <xf numFmtId="0" fontId="27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20" fillId="3" borderId="0" applyNumberFormat="0" applyBorder="0" applyAlignment="0" applyProtection="0"/>
    <xf numFmtId="0" fontId="12" fillId="20" borderId="1" applyNumberFormat="0" applyAlignment="0" applyProtection="0"/>
    <xf numFmtId="0" fontId="17" fillId="21" borderId="2" applyNumberFormat="0" applyAlignment="0" applyProtection="0"/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49" fontId="28" fillId="0" borderId="3">
      <alignment horizontal="center" vertical="center"/>
      <protection locked="0"/>
    </xf>
    <xf numFmtId="168" fontId="7" fillId="0" borderId="0" applyFont="0" applyFill="0" applyBorder="0" applyAlignment="0" applyProtection="0"/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49" fontId="7" fillId="0" borderId="3">
      <alignment horizontal="left" vertical="center"/>
      <protection locked="0"/>
    </xf>
    <xf numFmtId="0" fontId="21" fillId="0" borderId="0" applyNumberFormat="0" applyFill="0" applyBorder="0" applyAlignment="0" applyProtection="0"/>
    <xf numFmtId="171" fontId="29" fillId="0" borderId="0" applyAlignment="0">
      <alignment wrapText="1"/>
    </xf>
    <xf numFmtId="0" fontId="24" fillId="4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0" fillId="7" borderId="1" applyNumberFormat="0" applyAlignment="0" applyProtection="0"/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</xf>
    <xf numFmtId="49" fontId="7" fillId="0" borderId="0" applyNumberFormat="0" applyFont="0" applyAlignment="0">
      <alignment vertical="top" wrapText="1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7" fillId="0" borderId="0" applyNumberFormat="0" applyFont="0" applyAlignment="0">
      <alignment vertical="top" wrapText="1"/>
      <protection locked="0"/>
    </xf>
    <xf numFmtId="49" fontId="31" fillId="22" borderId="7">
      <alignment horizontal="left" vertical="center"/>
      <protection locked="0"/>
    </xf>
    <xf numFmtId="49" fontId="31" fillId="22" borderId="7">
      <alignment horizontal="left" vertical="center"/>
    </xf>
    <xf numFmtId="4" fontId="31" fillId="22" borderId="7">
      <alignment horizontal="right" vertical="center"/>
      <protection locked="0"/>
    </xf>
    <xf numFmtId="4" fontId="31" fillId="22" borderId="7">
      <alignment horizontal="right" vertical="center"/>
    </xf>
    <xf numFmtId="4" fontId="32" fillId="22" borderId="7">
      <alignment horizontal="right" vertical="center"/>
      <protection locked="0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" fontId="33" fillId="22" borderId="3">
      <alignment horizontal="right" vertical="center"/>
      <protection locked="0"/>
    </xf>
    <xf numFmtId="4" fontId="33" fillId="22" borderId="3">
      <alignment horizontal="right" vertical="center"/>
    </xf>
    <xf numFmtId="4" fontId="35" fillId="22" borderId="3">
      <alignment horizontal="right" vertical="center"/>
      <protection locked="0"/>
    </xf>
    <xf numFmtId="49" fontId="28" fillId="22" borderId="3">
      <alignment horizontal="left" vertical="center"/>
      <protection locked="0"/>
    </xf>
    <xf numFmtId="49" fontId="28" fillId="22" borderId="3">
      <alignment horizontal="left" vertical="center"/>
      <protection locked="0"/>
    </xf>
    <xf numFmtId="49" fontId="28" fillId="22" borderId="3">
      <alignment horizontal="left" vertical="center"/>
    </xf>
    <xf numFmtId="49" fontId="28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28" fillId="22" borderId="3">
      <alignment horizontal="right" vertical="center"/>
      <protection locked="0"/>
    </xf>
    <xf numFmtId="4" fontId="28" fillId="22" borderId="3">
      <alignment horizontal="right" vertical="center"/>
      <protection locked="0"/>
    </xf>
    <xf numFmtId="4" fontId="28" fillId="22" borderId="3">
      <alignment horizontal="right" vertical="center"/>
    </xf>
    <xf numFmtId="4" fontId="28" fillId="22" borderId="3">
      <alignment horizontal="right" vertical="center"/>
    </xf>
    <xf numFmtId="4" fontId="32" fillId="22" borderId="3">
      <alignment horizontal="righ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" fontId="40" fillId="0" borderId="3">
      <alignment horizontal="right" vertical="center"/>
      <protection locked="0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9" fontId="42" fillId="0" borderId="3">
      <alignment horizontal="left" vertical="center"/>
      <protection locked="0"/>
    </xf>
    <xf numFmtId="49" fontId="42" fillId="0" borderId="3">
      <alignment horizontal="left" vertical="center"/>
    </xf>
    <xf numFmtId="4" fontId="41" fillId="0" borderId="3">
      <alignment horizontal="right" vertical="center"/>
      <protection locked="0"/>
    </xf>
    <xf numFmtId="4" fontId="41" fillId="0" borderId="3">
      <alignment horizontal="right" vertical="center"/>
    </xf>
    <xf numFmtId="49" fontId="39" fillId="0" borderId="3">
      <alignment horizontal="left" vertical="center"/>
      <protection locked="0"/>
    </xf>
    <xf numFmtId="49" fontId="40" fillId="0" borderId="3">
      <alignment horizontal="left" vertical="center"/>
      <protection locked="0"/>
    </xf>
    <xf numFmtId="4" fontId="39" fillId="0" borderId="3">
      <alignment horizontal="right" vertical="center"/>
      <protection locked="0"/>
    </xf>
    <xf numFmtId="0" fontId="22" fillId="0" borderId="8" applyNumberFormat="0" applyFill="0" applyAlignment="0" applyProtection="0"/>
    <xf numFmtId="0" fontId="19" fillId="23" borderId="0" applyNumberFormat="0" applyBorder="0" applyAlignment="0" applyProtection="0"/>
    <xf numFmtId="0" fontId="7" fillId="0" borderId="0"/>
    <xf numFmtId="0" fontId="7" fillId="0" borderId="0"/>
    <xf numFmtId="0" fontId="7" fillId="24" borderId="0" applyNumberFormat="0" applyFill="0" applyAlignment="0">
      <alignment horizontal="center"/>
      <protection locked="0"/>
    </xf>
    <xf numFmtId="0" fontId="4" fillId="25" borderId="9" applyNumberFormat="0" applyFont="0" applyAlignment="0" applyProtection="0"/>
    <xf numFmtId="4" fontId="43" fillId="26" borderId="3">
      <alignment horizontal="right" vertical="center"/>
      <protection locked="0"/>
    </xf>
    <xf numFmtId="4" fontId="43" fillId="27" borderId="3">
      <alignment horizontal="right" vertical="center"/>
      <protection locked="0"/>
    </xf>
    <xf numFmtId="4" fontId="43" fillId="28" borderId="3">
      <alignment horizontal="right" vertical="center"/>
      <protection locked="0"/>
    </xf>
    <xf numFmtId="0" fontId="11" fillId="20" borderId="10" applyNumberFormat="0" applyAlignment="0" applyProtection="0"/>
    <xf numFmtId="49" fontId="28" fillId="0" borderId="3">
      <alignment horizontal="left" vertical="center" wrapText="1"/>
      <protection locked="0"/>
    </xf>
    <xf numFmtId="49" fontId="28" fillId="0" borderId="3">
      <alignment horizontal="left" vertical="center" wrapText="1"/>
      <protection locked="0"/>
    </xf>
    <xf numFmtId="0" fontId="18" fillId="0" borderId="0" applyNumberFormat="0" applyFill="0" applyBorder="0" applyAlignment="0" applyProtection="0"/>
    <xf numFmtId="0" fontId="16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7" fillId="16" borderId="0" applyNumberFormat="0" applyBorder="0" applyAlignment="0" applyProtection="0"/>
    <xf numFmtId="0" fontId="9" fillId="16" borderId="0" applyNumberFormat="0" applyBorder="0" applyAlignment="0" applyProtection="0"/>
    <xf numFmtId="0" fontId="27" fillId="17" borderId="0" applyNumberFormat="0" applyBorder="0" applyAlignment="0" applyProtection="0"/>
    <xf numFmtId="0" fontId="9" fillId="17" borderId="0" applyNumberFormat="0" applyBorder="0" applyAlignment="0" applyProtection="0"/>
    <xf numFmtId="0" fontId="27" fillId="18" borderId="0" applyNumberFormat="0" applyBorder="0" applyAlignment="0" applyProtection="0"/>
    <xf numFmtId="0" fontId="9" fillId="18" borderId="0" applyNumberFormat="0" applyBorder="0" applyAlignment="0" applyProtection="0"/>
    <xf numFmtId="0" fontId="27" fillId="13" borderId="0" applyNumberFormat="0" applyBorder="0" applyAlignment="0" applyProtection="0"/>
    <xf numFmtId="0" fontId="9" fillId="13" borderId="0" applyNumberFormat="0" applyBorder="0" applyAlignment="0" applyProtection="0"/>
    <xf numFmtId="0" fontId="27" fillId="14" borderId="0" applyNumberFormat="0" applyBorder="0" applyAlignment="0" applyProtection="0"/>
    <xf numFmtId="0" fontId="9" fillId="14" borderId="0" applyNumberFormat="0" applyBorder="0" applyAlignment="0" applyProtection="0"/>
    <xf numFmtId="0" fontId="27" fillId="19" borderId="0" applyNumberFormat="0" applyBorder="0" applyAlignment="0" applyProtection="0"/>
    <xf numFmtId="0" fontId="9" fillId="19" borderId="0" applyNumberFormat="0" applyBorder="0" applyAlignment="0" applyProtection="0"/>
    <xf numFmtId="0" fontId="44" fillId="7" borderId="1" applyNumberFormat="0" applyAlignment="0" applyProtection="0"/>
    <xf numFmtId="0" fontId="10" fillId="7" borderId="1" applyNumberFormat="0" applyAlignment="0" applyProtection="0"/>
    <xf numFmtId="0" fontId="45" fillId="20" borderId="10" applyNumberFormat="0" applyAlignment="0" applyProtection="0"/>
    <xf numFmtId="0" fontId="11" fillId="20" borderId="10" applyNumberFormat="0" applyAlignment="0" applyProtection="0"/>
    <xf numFmtId="0" fontId="46" fillId="20" borderId="1" applyNumberFormat="0" applyAlignment="0" applyProtection="0"/>
    <xf numFmtId="0" fontId="12" fillId="20" borderId="1" applyNumberFormat="0" applyAlignment="0" applyProtection="0"/>
    <xf numFmtId="172" fontId="7" fillId="0" borderId="0" applyFont="0" applyFill="0" applyBorder="0" applyAlignment="0" applyProtection="0"/>
    <xf numFmtId="0" fontId="47" fillId="0" borderId="4" applyNumberFormat="0" applyFill="0" applyAlignment="0" applyProtection="0"/>
    <xf numFmtId="0" fontId="13" fillId="0" borderId="4" applyNumberFormat="0" applyFill="0" applyAlignment="0" applyProtection="0"/>
    <xf numFmtId="0" fontId="48" fillId="0" borderId="5" applyNumberFormat="0" applyFill="0" applyAlignment="0" applyProtection="0"/>
    <xf numFmtId="0" fontId="14" fillId="0" borderId="5" applyNumberFormat="0" applyFill="0" applyAlignment="0" applyProtection="0"/>
    <xf numFmtId="0" fontId="49" fillId="0" borderId="6" applyNumberFormat="0" applyFill="0" applyAlignment="0" applyProtection="0"/>
    <xf numFmtId="0" fontId="15" fillId="0" borderId="6" applyNumberFormat="0" applyFill="0" applyAlignment="0" applyProtection="0"/>
    <xf numFmtId="0" fontId="4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11" applyNumberFormat="0" applyFill="0" applyAlignment="0" applyProtection="0"/>
    <xf numFmtId="0" fontId="16" fillId="0" borderId="11" applyNumberFormat="0" applyFill="0" applyAlignment="0" applyProtection="0"/>
    <xf numFmtId="0" fontId="51" fillId="21" borderId="2" applyNumberFormat="0" applyAlignment="0" applyProtection="0"/>
    <xf numFmtId="0" fontId="17" fillId="21" borderId="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2" fillId="23" borderId="0" applyNumberFormat="0" applyBorder="0" applyAlignment="0" applyProtection="0"/>
    <xf numFmtId="0" fontId="19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0" fontId="7" fillId="0" borderId="0"/>
    <xf numFmtId="0" fontId="4" fillId="0" borderId="0"/>
    <xf numFmtId="0" fontId="7" fillId="0" borderId="0"/>
    <xf numFmtId="0" fontId="7" fillId="0" borderId="0" applyNumberFormat="0" applyFont="0" applyFill="0" applyBorder="0" applyAlignment="0" applyProtection="0">
      <alignment vertical="top"/>
    </xf>
    <xf numFmtId="0" fontId="7" fillId="0" borderId="0" applyNumberFormat="0" applyFont="0" applyFill="0" applyBorder="0" applyAlignment="0" applyProtection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3" fillId="3" borderId="0" applyNumberFormat="0" applyBorder="0" applyAlignment="0" applyProtection="0"/>
    <xf numFmtId="0" fontId="20" fillId="3" borderId="0" applyNumberFormat="0" applyBorder="0" applyAlignment="0" applyProtection="0"/>
    <xf numFmtId="0" fontId="5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5" fillId="25" borderId="9" applyNumberFormat="0" applyFont="0" applyAlignment="0" applyProtection="0"/>
    <xf numFmtId="0" fontId="7" fillId="25" borderId="9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6" fillId="0" borderId="8" applyNumberFormat="0" applyFill="0" applyAlignment="0" applyProtection="0"/>
    <xf numFmtId="0" fontId="22" fillId="0" borderId="8" applyNumberFormat="0" applyFill="0" applyAlignment="0" applyProtection="0"/>
    <xf numFmtId="0" fontId="2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3" fontId="59" fillId="0" borderId="0" applyFont="0" applyFill="0" applyBorder="0" applyAlignment="0" applyProtection="0"/>
    <xf numFmtId="174" fontId="5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0" fillId="4" borderId="0" applyNumberFormat="0" applyBorder="0" applyAlignment="0" applyProtection="0"/>
    <xf numFmtId="0" fontId="24" fillId="4" borderId="0" applyNumberFormat="0" applyBorder="0" applyAlignment="0" applyProtection="0"/>
    <xf numFmtId="176" fontId="61" fillId="22" borderId="12" applyFill="0" applyBorder="0">
      <alignment horizontal="center" vertical="center" wrapText="1"/>
      <protection locked="0"/>
    </xf>
    <xf numFmtId="171" fontId="62" fillId="0" borderId="0">
      <alignment wrapText="1"/>
    </xf>
    <xf numFmtId="171" fontId="29" fillId="0" borderId="0">
      <alignment wrapText="1"/>
    </xf>
    <xf numFmtId="0" fontId="7" fillId="0" borderId="0"/>
    <xf numFmtId="0" fontId="2" fillId="0" borderId="0"/>
    <xf numFmtId="0" fontId="89" fillId="0" borderId="0" applyNumberFormat="0" applyFill="0" applyBorder="0" applyAlignment="0" applyProtection="0"/>
    <xf numFmtId="0" fontId="1" fillId="0" borderId="0"/>
  </cellStyleXfs>
  <cellXfs count="282">
    <xf numFmtId="0" fontId="0" fillId="0" borderId="0" xfId="0"/>
    <xf numFmtId="0" fontId="64" fillId="0" borderId="0" xfId="0" applyFont="1" applyFill="1" applyAlignment="1">
      <alignment vertical="center"/>
    </xf>
    <xf numFmtId="0" fontId="67" fillId="0" borderId="0" xfId="0" applyFont="1" applyFill="1" applyBorder="1" applyAlignment="1">
      <alignment vertical="center"/>
    </xf>
    <xf numFmtId="0" fontId="67" fillId="0" borderId="0" xfId="0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vertical="center"/>
    </xf>
    <xf numFmtId="170" fontId="67" fillId="0" borderId="0" xfId="0" applyNumberFormat="1" applyFont="1" applyFill="1" applyBorder="1" applyAlignment="1">
      <alignment horizontal="right" vertical="center" wrapText="1"/>
    </xf>
    <xf numFmtId="0" fontId="67" fillId="0" borderId="0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vertical="center" wrapText="1"/>
    </xf>
    <xf numFmtId="0" fontId="68" fillId="0" borderId="0" xfId="0" applyFont="1" applyFill="1" applyBorder="1" applyAlignment="1">
      <alignment horizontal="left" vertical="center"/>
    </xf>
    <xf numFmtId="0" fontId="64" fillId="0" borderId="0" xfId="0" applyFont="1" applyFill="1" applyAlignment="1"/>
    <xf numFmtId="0" fontId="75" fillId="0" borderId="0" xfId="0" applyFont="1" applyFill="1" applyAlignment="1">
      <alignment vertical="center"/>
    </xf>
    <xf numFmtId="0" fontId="67" fillId="0" borderId="3" xfId="0" applyFont="1" applyFill="1" applyBorder="1" applyAlignment="1">
      <alignment horizontal="center" vertical="center" wrapText="1"/>
    </xf>
    <xf numFmtId="179" fontId="65" fillId="0" borderId="3" xfId="0" applyNumberFormat="1" applyFont="1" applyFill="1" applyBorder="1" applyAlignment="1">
      <alignment horizontal="center" vertical="center" wrapText="1"/>
    </xf>
    <xf numFmtId="178" fontId="65" fillId="0" borderId="3" xfId="0" applyNumberFormat="1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left" vertical="center" wrapText="1"/>
    </xf>
    <xf numFmtId="178" fontId="67" fillId="0" borderId="3" xfId="0" applyNumberFormat="1" applyFont="1" applyFill="1" applyBorder="1" applyAlignment="1">
      <alignment horizontal="center" vertical="center" wrapText="1"/>
    </xf>
    <xf numFmtId="178" fontId="65" fillId="0" borderId="3" xfId="0" applyNumberFormat="1" applyFont="1" applyFill="1" applyBorder="1" applyAlignment="1">
      <alignment horizontal="center" vertical="center"/>
    </xf>
    <xf numFmtId="179" fontId="67" fillId="0" borderId="0" xfId="0" applyNumberFormat="1" applyFont="1" applyFill="1" applyBorder="1" applyAlignment="1">
      <alignment vertical="center"/>
    </xf>
    <xf numFmtId="0" fontId="80" fillId="0" borderId="3" xfId="0" applyFont="1" applyFill="1" applyBorder="1" applyAlignment="1">
      <alignment vertical="center" wrapText="1"/>
    </xf>
    <xf numFmtId="0" fontId="65" fillId="0" borderId="3" xfId="0" applyFont="1" applyFill="1" applyBorder="1" applyAlignment="1">
      <alignment vertical="center" wrapText="1"/>
    </xf>
    <xf numFmtId="0" fontId="67" fillId="0" borderId="3" xfId="0" applyFont="1" applyFill="1" applyBorder="1" applyAlignment="1">
      <alignment vertical="center" wrapText="1"/>
    </xf>
    <xf numFmtId="0" fontId="67" fillId="0" borderId="3" xfId="0" applyFont="1" applyFill="1" applyBorder="1" applyAlignment="1">
      <alignment vertical="center"/>
    </xf>
    <xf numFmtId="0" fontId="80" fillId="0" borderId="3" xfId="0" applyFont="1" applyFill="1" applyBorder="1" applyAlignment="1">
      <alignment horizontal="left" vertical="center"/>
    </xf>
    <xf numFmtId="0" fontId="80" fillId="0" borderId="3" xfId="0" applyFont="1" applyFill="1" applyBorder="1" applyAlignment="1">
      <alignment vertical="center"/>
    </xf>
    <xf numFmtId="0" fontId="65" fillId="0" borderId="3" xfId="0" quotePrefix="1" applyFont="1" applyFill="1" applyBorder="1" applyAlignment="1">
      <alignment horizontal="center" vertical="center"/>
    </xf>
    <xf numFmtId="179" fontId="65" fillId="0" borderId="0" xfId="0" applyNumberFormat="1" applyFont="1" applyFill="1" applyBorder="1" applyAlignment="1">
      <alignment vertical="center"/>
    </xf>
    <xf numFmtId="0" fontId="72" fillId="0" borderId="0" xfId="0" applyFont="1" applyFill="1" applyBorder="1" applyAlignment="1">
      <alignment horizontal="center" vertical="center" wrapText="1"/>
    </xf>
    <xf numFmtId="0" fontId="67" fillId="0" borderId="0" xfId="0" quotePrefix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vertical="center"/>
    </xf>
    <xf numFmtId="178" fontId="67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vertical="center"/>
    </xf>
    <xf numFmtId="179" fontId="65" fillId="0" borderId="0" xfId="0" applyNumberFormat="1" applyFont="1" applyFill="1" applyBorder="1" applyAlignment="1">
      <alignment horizontal="center" vertical="center"/>
    </xf>
    <xf numFmtId="178" fontId="67" fillId="0" borderId="0" xfId="0" applyNumberFormat="1" applyFont="1" applyFill="1" applyBorder="1" applyAlignment="1">
      <alignment horizontal="center" vertical="center"/>
    </xf>
    <xf numFmtId="178" fontId="67" fillId="0" borderId="0" xfId="0" applyNumberFormat="1" applyFont="1" applyFill="1" applyBorder="1" applyAlignment="1">
      <alignment vertical="center"/>
    </xf>
    <xf numFmtId="0" fontId="66" fillId="0" borderId="3" xfId="0" applyFont="1" applyFill="1" applyBorder="1" applyAlignment="1">
      <alignment horizontal="left" vertical="center"/>
    </xf>
    <xf numFmtId="49" fontId="65" fillId="0" borderId="3" xfId="0" applyNumberFormat="1" applyFont="1" applyFill="1" applyBorder="1" applyAlignment="1">
      <alignment horizontal="center" vertical="center"/>
    </xf>
    <xf numFmtId="49" fontId="81" fillId="0" borderId="3" xfId="0" applyNumberFormat="1" applyFont="1" applyFill="1" applyBorder="1" applyAlignment="1">
      <alignment horizontal="center" vertical="center"/>
    </xf>
    <xf numFmtId="0" fontId="81" fillId="0" borderId="3" xfId="0" applyFont="1" applyFill="1" applyBorder="1" applyAlignment="1">
      <alignment horizontal="left" vertical="center" wrapText="1"/>
    </xf>
    <xf numFmtId="0" fontId="81" fillId="0" borderId="3" xfId="0" applyFont="1" applyFill="1" applyBorder="1" applyAlignment="1">
      <alignment horizontal="center"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  <xf numFmtId="178" fontId="77" fillId="0" borderId="3" xfId="0" applyNumberFormat="1" applyFont="1" applyFill="1" applyBorder="1" applyAlignment="1">
      <alignment horizontal="center" vertical="center"/>
    </xf>
    <xf numFmtId="49" fontId="79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center" vertical="center" wrapText="1"/>
    </xf>
    <xf numFmtId="170" fontId="67" fillId="0" borderId="0" xfId="0" applyNumberFormat="1" applyFont="1" applyFill="1" applyBorder="1" applyAlignment="1">
      <alignment vertical="center"/>
    </xf>
    <xf numFmtId="0" fontId="81" fillId="0" borderId="3" xfId="0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vertical="center"/>
    </xf>
    <xf numFmtId="49" fontId="80" fillId="0" borderId="3" xfId="0" applyNumberFormat="1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7" fillId="0" borderId="0" xfId="0" applyNumberFormat="1" applyFont="1" applyFill="1" applyBorder="1" applyAlignment="1">
      <alignment horizontal="center"/>
    </xf>
    <xf numFmtId="179" fontId="67" fillId="0" borderId="0" xfId="0" applyNumberFormat="1" applyFont="1" applyFill="1" applyBorder="1" applyAlignment="1">
      <alignment horizontal="center"/>
    </xf>
    <xf numFmtId="49" fontId="78" fillId="0" borderId="3" xfId="0" applyNumberFormat="1" applyFont="1" applyFill="1" applyBorder="1" applyAlignment="1">
      <alignment horizontal="center" vertical="center"/>
    </xf>
    <xf numFmtId="169" fontId="67" fillId="0" borderId="0" xfId="0" applyNumberFormat="1" applyFont="1" applyFill="1" applyBorder="1" applyAlignment="1">
      <alignment vertical="center"/>
    </xf>
    <xf numFmtId="0" fontId="78" fillId="0" borderId="3" xfId="0" applyFont="1" applyFill="1" applyBorder="1" applyAlignment="1">
      <alignment horizontal="center" vertical="center"/>
    </xf>
    <xf numFmtId="178" fontId="83" fillId="0" borderId="3" xfId="0" applyNumberFormat="1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left" vertical="center" wrapText="1"/>
    </xf>
    <xf numFmtId="0" fontId="81" fillId="0" borderId="15" xfId="0" applyFont="1" applyFill="1" applyBorder="1" applyAlignment="1">
      <alignment vertical="center"/>
    </xf>
    <xf numFmtId="0" fontId="81" fillId="0" borderId="3" xfId="0" applyFont="1" applyFill="1" applyBorder="1" applyAlignment="1">
      <alignment vertical="center" wrapText="1"/>
    </xf>
    <xf numFmtId="0" fontId="80" fillId="0" borderId="15" xfId="0" applyFont="1" applyFill="1" applyBorder="1" applyAlignment="1">
      <alignment vertical="center" wrapText="1"/>
    </xf>
    <xf numFmtId="0" fontId="80" fillId="0" borderId="15" xfId="0" applyFont="1" applyFill="1" applyBorder="1" applyAlignment="1">
      <alignment vertical="center"/>
    </xf>
    <xf numFmtId="0" fontId="78" fillId="0" borderId="3" xfId="0" applyFont="1" applyFill="1" applyBorder="1" applyAlignment="1">
      <alignment vertical="center" wrapText="1"/>
    </xf>
    <xf numFmtId="0" fontId="78" fillId="0" borderId="3" xfId="0" applyFont="1" applyFill="1" applyBorder="1" applyAlignment="1">
      <alignment horizontal="center" vertical="center" wrapText="1"/>
    </xf>
    <xf numFmtId="0" fontId="81" fillId="0" borderId="15" xfId="0" applyFont="1" applyFill="1" applyBorder="1" applyAlignment="1">
      <alignment vertical="center" wrapText="1"/>
    </xf>
    <xf numFmtId="0" fontId="78" fillId="0" borderId="3" xfId="0" applyFont="1" applyFill="1" applyBorder="1" applyAlignment="1">
      <alignment horizontal="left" vertical="center"/>
    </xf>
    <xf numFmtId="0" fontId="79" fillId="0" borderId="3" xfId="0" applyFont="1" applyFill="1" applyBorder="1" applyAlignment="1">
      <alignment horizontal="left" vertical="center"/>
    </xf>
    <xf numFmtId="0" fontId="80" fillId="0" borderId="13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horizontal="left" vertical="center" wrapText="1"/>
    </xf>
    <xf numFmtId="0" fontId="77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center" vertical="center" wrapText="1"/>
    </xf>
    <xf numFmtId="0" fontId="81" fillId="0" borderId="3" xfId="0" applyFont="1" applyFill="1" applyBorder="1" applyAlignment="1">
      <alignment vertical="center"/>
    </xf>
    <xf numFmtId="0" fontId="77" fillId="0" borderId="3" xfId="0" applyFont="1" applyFill="1" applyBorder="1" applyAlignment="1">
      <alignment horizontal="left" vertical="center"/>
    </xf>
    <xf numFmtId="49" fontId="77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left" vertical="center" wrapText="1"/>
    </xf>
    <xf numFmtId="49" fontId="67" fillId="0" borderId="3" xfId="0" applyNumberFormat="1" applyFont="1" applyFill="1" applyBorder="1" applyAlignment="1">
      <alignment horizontal="center" vertical="center"/>
    </xf>
    <xf numFmtId="49" fontId="66" fillId="0" borderId="3" xfId="0" applyNumberFormat="1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center" vertical="center" wrapText="1"/>
    </xf>
    <xf numFmtId="0" fontId="81" fillId="0" borderId="3" xfId="0" applyFont="1" applyFill="1" applyBorder="1" applyAlignment="1">
      <alignment horizontal="left" vertical="center"/>
    </xf>
    <xf numFmtId="0" fontId="67" fillId="0" borderId="3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center" wrapText="1"/>
    </xf>
    <xf numFmtId="0" fontId="65" fillId="0" borderId="0" xfId="0" applyFont="1" applyFill="1" applyBorder="1" applyAlignment="1">
      <alignment horizontal="center" vertical="center"/>
    </xf>
    <xf numFmtId="178" fontId="67" fillId="0" borderId="3" xfId="0" applyNumberFormat="1" applyFont="1" applyFill="1" applyBorder="1" applyAlignment="1">
      <alignment vertical="center"/>
    </xf>
    <xf numFmtId="180" fontId="67" fillId="0" borderId="0" xfId="0" applyNumberFormat="1" applyFont="1" applyFill="1" applyBorder="1" applyAlignment="1">
      <alignment vertical="center"/>
    </xf>
    <xf numFmtId="0" fontId="77" fillId="0" borderId="0" xfId="0" applyFont="1" applyFill="1" applyBorder="1" applyAlignment="1">
      <alignment vertical="center"/>
    </xf>
    <xf numFmtId="180" fontId="65" fillId="0" borderId="0" xfId="0" applyNumberFormat="1" applyFont="1" applyFill="1" applyBorder="1" applyAlignment="1">
      <alignment vertical="center"/>
    </xf>
    <xf numFmtId="0" fontId="77" fillId="0" borderId="0" xfId="0" applyFont="1" applyFill="1" applyBorder="1" applyAlignment="1">
      <alignment horizontal="center" vertical="center"/>
    </xf>
    <xf numFmtId="0" fontId="65" fillId="0" borderId="0" xfId="0" applyNumberFormat="1" applyFont="1" applyFill="1" applyBorder="1" applyAlignment="1">
      <alignment vertical="center"/>
    </xf>
    <xf numFmtId="0" fontId="77" fillId="0" borderId="0" xfId="0" applyNumberFormat="1" applyFont="1" applyFill="1" applyBorder="1" applyAlignment="1">
      <alignment vertical="center"/>
    </xf>
    <xf numFmtId="178" fontId="65" fillId="0" borderId="0" xfId="0" applyNumberFormat="1" applyFont="1" applyFill="1" applyBorder="1" applyAlignment="1">
      <alignment vertical="center"/>
    </xf>
    <xf numFmtId="0" fontId="64" fillId="0" borderId="0" xfId="0" applyFont="1" applyFill="1" applyAlignment="1">
      <alignment horizontal="right" vertical="center"/>
    </xf>
    <xf numFmtId="0" fontId="64" fillId="0" borderId="13" xfId="0" applyFont="1" applyFill="1" applyBorder="1" applyAlignment="1">
      <alignment vertical="center"/>
    </xf>
    <xf numFmtId="0" fontId="64" fillId="0" borderId="13" xfId="0" applyFont="1" applyFill="1" applyBorder="1" applyAlignment="1">
      <alignment horizontal="center" vertical="center"/>
    </xf>
    <xf numFmtId="178" fontId="84" fillId="0" borderId="3" xfId="0" applyNumberFormat="1" applyFont="1" applyFill="1" applyBorder="1" applyAlignment="1">
      <alignment horizontal="center" vertical="center" wrapText="1"/>
    </xf>
    <xf numFmtId="0" fontId="68" fillId="0" borderId="15" xfId="0" applyFont="1" applyFill="1" applyBorder="1" applyAlignment="1">
      <alignment horizontal="center" vertical="center" wrapText="1"/>
    </xf>
    <xf numFmtId="178" fontId="68" fillId="0" borderId="3" xfId="0" applyNumberFormat="1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 wrapText="1"/>
    </xf>
    <xf numFmtId="169" fontId="64" fillId="0" borderId="0" xfId="0" applyNumberFormat="1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right" vertical="center"/>
    </xf>
    <xf numFmtId="169" fontId="68" fillId="0" borderId="0" xfId="0" applyNumberFormat="1" applyFont="1" applyFill="1" applyBorder="1" applyAlignment="1">
      <alignment horizontal="right" vertical="center"/>
    </xf>
    <xf numFmtId="0" fontId="64" fillId="0" borderId="0" xfId="0" applyFont="1" applyFill="1" applyBorder="1" applyAlignment="1"/>
    <xf numFmtId="0" fontId="70" fillId="0" borderId="0" xfId="0" applyFont="1" applyFill="1" applyBorder="1" applyAlignment="1">
      <alignment horizontal="center" vertical="center"/>
    </xf>
    <xf numFmtId="0" fontId="70" fillId="0" borderId="18" xfId="0" applyFont="1" applyFill="1" applyBorder="1" applyAlignment="1">
      <alignment horizontal="center" vertical="center"/>
    </xf>
    <xf numFmtId="0" fontId="64" fillId="0" borderId="18" xfId="0" applyFont="1" applyFill="1" applyBorder="1" applyAlignment="1">
      <alignment horizontal="center" vertical="center"/>
    </xf>
    <xf numFmtId="0" fontId="64" fillId="0" borderId="0" xfId="0" applyFont="1" applyFill="1" applyAlignment="1">
      <alignment vertical="center" wrapText="1" shrinkToFit="1"/>
    </xf>
    <xf numFmtId="0" fontId="64" fillId="0" borderId="0" xfId="0" applyFont="1" applyFill="1" applyBorder="1" applyAlignment="1">
      <alignment vertical="center" wrapText="1" shrinkToFit="1"/>
    </xf>
    <xf numFmtId="0" fontId="67" fillId="0" borderId="3" xfId="0" applyFont="1" applyFill="1" applyBorder="1" applyAlignment="1">
      <alignment horizontal="center" vertical="center" wrapText="1" shrinkToFit="1"/>
    </xf>
    <xf numFmtId="0" fontId="77" fillId="0" borderId="3" xfId="0" quotePrefix="1" applyFont="1" applyFill="1" applyBorder="1" applyAlignment="1">
      <alignment horizontal="center" vertical="center"/>
    </xf>
    <xf numFmtId="170" fontId="67" fillId="0" borderId="0" xfId="0" applyNumberFormat="1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vertical="center"/>
    </xf>
    <xf numFmtId="0" fontId="88" fillId="0" borderId="0" xfId="0" applyFont="1" applyFill="1" applyBorder="1" applyAlignment="1">
      <alignment vertical="center"/>
    </xf>
    <xf numFmtId="0" fontId="80" fillId="0" borderId="13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vertical="center"/>
    </xf>
    <xf numFmtId="179" fontId="82" fillId="0" borderId="0" xfId="0" applyNumberFormat="1" applyFont="1" applyFill="1" applyBorder="1" applyAlignment="1">
      <alignment vertical="center"/>
    </xf>
    <xf numFmtId="0" fontId="80" fillId="0" borderId="15" xfId="0" applyFont="1" applyFill="1" applyBorder="1" applyAlignment="1">
      <alignment horizontal="left" vertical="center" wrapText="1"/>
    </xf>
    <xf numFmtId="170" fontId="67" fillId="0" borderId="3" xfId="0" applyNumberFormat="1" applyFont="1" applyFill="1" applyBorder="1" applyAlignment="1">
      <alignment vertical="center" wrapText="1"/>
    </xf>
    <xf numFmtId="178" fontId="67" fillId="0" borderId="3" xfId="0" applyNumberFormat="1" applyFont="1" applyFill="1" applyBorder="1" applyAlignment="1">
      <alignment vertical="center" wrapText="1"/>
    </xf>
    <xf numFmtId="178" fontId="67" fillId="29" borderId="3" xfId="0" applyNumberFormat="1" applyFont="1" applyFill="1" applyBorder="1" applyAlignment="1">
      <alignment horizontal="center" vertical="center" wrapText="1"/>
    </xf>
    <xf numFmtId="0" fontId="80" fillId="0" borderId="13" xfId="0" applyFont="1" applyFill="1" applyBorder="1" applyAlignment="1">
      <alignment horizontal="left" vertical="center"/>
    </xf>
    <xf numFmtId="179" fontId="67" fillId="0" borderId="0" xfId="0" applyNumberFormat="1" applyFont="1" applyFill="1" applyBorder="1" applyAlignment="1">
      <alignment horizontal="center" vertical="center"/>
    </xf>
    <xf numFmtId="178" fontId="82" fillId="0" borderId="3" xfId="0" applyNumberFormat="1" applyFont="1" applyFill="1" applyBorder="1" applyAlignment="1">
      <alignment horizontal="center" vertical="center" wrapText="1"/>
    </xf>
    <xf numFmtId="0" fontId="70" fillId="0" borderId="0" xfId="0" applyFont="1" applyFill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 shrinkToFit="1"/>
    </xf>
    <xf numFmtId="0" fontId="68" fillId="0" borderId="3" xfId="182" applyFont="1" applyFill="1" applyBorder="1" applyAlignment="1">
      <alignment vertical="center" wrapText="1"/>
      <protection locked="0"/>
    </xf>
    <xf numFmtId="0" fontId="68" fillId="0" borderId="3" xfId="0" applyFont="1" applyFill="1" applyBorder="1" applyAlignment="1">
      <alignment horizontal="center" vertical="center"/>
    </xf>
    <xf numFmtId="169" fontId="64" fillId="0" borderId="0" xfId="0" applyNumberFormat="1" applyFont="1" applyFill="1" applyBorder="1" applyAlignment="1">
      <alignment vertical="center"/>
    </xf>
    <xf numFmtId="0" fontId="64" fillId="0" borderId="3" xfId="0" applyFont="1" applyFill="1" applyBorder="1" applyAlignment="1">
      <alignment horizontal="left" vertical="center" wrapText="1"/>
    </xf>
    <xf numFmtId="178" fontId="64" fillId="0" borderId="3" xfId="0" applyNumberFormat="1" applyFont="1" applyFill="1" applyBorder="1" applyAlignment="1">
      <alignment horizontal="center" vertical="center" wrapText="1"/>
    </xf>
    <xf numFmtId="178" fontId="85" fillId="0" borderId="3" xfId="0" applyNumberFormat="1" applyFont="1" applyFill="1" applyBorder="1" applyAlignment="1">
      <alignment horizontal="center" vertical="center" wrapText="1"/>
    </xf>
    <xf numFmtId="0" fontId="64" fillId="0" borderId="3" xfId="182" applyFont="1" applyFill="1" applyBorder="1" applyAlignment="1">
      <alignment vertical="center" wrapText="1"/>
      <protection locked="0"/>
    </xf>
    <xf numFmtId="178" fontId="86" fillId="0" borderId="3" xfId="0" applyNumberFormat="1" applyFont="1" applyFill="1" applyBorder="1" applyAlignment="1">
      <alignment horizontal="center" vertical="center" wrapText="1"/>
    </xf>
    <xf numFmtId="179" fontId="64" fillId="0" borderId="0" xfId="0" applyNumberFormat="1" applyFont="1" applyFill="1" applyBorder="1" applyAlignment="1">
      <alignment vertical="center"/>
    </xf>
    <xf numFmtId="170" fontId="64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left" vertical="center" wrapText="1"/>
    </xf>
    <xf numFmtId="170" fontId="68" fillId="0" borderId="3" xfId="0" applyNumberFormat="1" applyFont="1" applyFill="1" applyBorder="1" applyAlignment="1">
      <alignment horizontal="center" vertical="center" wrapText="1"/>
    </xf>
    <xf numFmtId="0" fontId="68" fillId="0" borderId="3" xfId="245" applyFont="1" applyFill="1" applyBorder="1" applyAlignment="1">
      <alignment horizontal="left" vertical="center" wrapText="1"/>
    </xf>
    <xf numFmtId="0" fontId="64" fillId="0" borderId="3" xfId="245" applyFont="1" applyFill="1" applyBorder="1" applyAlignment="1">
      <alignment horizontal="left" vertical="center" wrapText="1"/>
    </xf>
    <xf numFmtId="0" fontId="68" fillId="0" borderId="3" xfId="0" applyFont="1" applyFill="1" applyBorder="1" applyAlignment="1" applyProtection="1">
      <alignment horizontal="left" vertical="center" wrapText="1"/>
      <protection locked="0"/>
    </xf>
    <xf numFmtId="49" fontId="68" fillId="0" borderId="3" xfId="0" applyNumberFormat="1" applyFont="1" applyFill="1" applyBorder="1" applyAlignment="1">
      <alignment horizontal="center" vertical="center"/>
    </xf>
    <xf numFmtId="177" fontId="68" fillId="0" borderId="3" xfId="0" applyNumberFormat="1" applyFont="1" applyFill="1" applyBorder="1" applyAlignment="1">
      <alignment horizontal="right" vertical="center" wrapText="1"/>
    </xf>
    <xf numFmtId="177" fontId="68" fillId="0" borderId="3" xfId="0" applyNumberFormat="1" applyFont="1" applyFill="1" applyBorder="1" applyAlignment="1">
      <alignment horizontal="center" vertical="center" wrapText="1"/>
    </xf>
    <xf numFmtId="177" fontId="64" fillId="0" borderId="0" xfId="0" applyNumberFormat="1" applyFont="1" applyFill="1" applyBorder="1" applyAlignment="1">
      <alignment horizontal="center" vertical="center"/>
    </xf>
    <xf numFmtId="177" fontId="64" fillId="0" borderId="3" xfId="0" applyNumberFormat="1" applyFont="1" applyFill="1" applyBorder="1" applyAlignment="1">
      <alignment horizontal="right" vertical="center" wrapText="1"/>
    </xf>
    <xf numFmtId="177" fontId="64" fillId="0" borderId="3" xfId="0" applyNumberFormat="1" applyFont="1" applyFill="1" applyBorder="1" applyAlignment="1">
      <alignment horizontal="center" vertical="center" wrapText="1"/>
    </xf>
    <xf numFmtId="177" fontId="64" fillId="0" borderId="0" xfId="0" applyNumberFormat="1" applyFont="1" applyFill="1" applyBorder="1" applyAlignment="1">
      <alignment vertical="center"/>
    </xf>
    <xf numFmtId="0" fontId="87" fillId="0" borderId="0" xfId="0" applyFont="1" applyFill="1" applyBorder="1" applyAlignment="1" applyProtection="1">
      <alignment horizontal="left" vertical="center" wrapText="1"/>
      <protection locked="0"/>
    </xf>
    <xf numFmtId="49" fontId="87" fillId="0" borderId="0" xfId="0" applyNumberFormat="1" applyFont="1" applyFill="1" applyBorder="1" applyAlignment="1">
      <alignment horizontal="center" vertical="center"/>
    </xf>
    <xf numFmtId="177" fontId="87" fillId="0" borderId="0" xfId="0" applyNumberFormat="1" applyFont="1" applyFill="1" applyBorder="1" applyAlignment="1">
      <alignment horizontal="center" vertical="center" wrapText="1"/>
    </xf>
    <xf numFmtId="178" fontId="68" fillId="0" borderId="3" xfId="0" applyNumberFormat="1" applyFont="1" applyFill="1" applyBorder="1" applyAlignment="1">
      <alignment horizontal="right" vertical="center" wrapText="1"/>
    </xf>
    <xf numFmtId="0" fontId="88" fillId="0" borderId="0" xfId="182" applyFont="1" applyFill="1" applyBorder="1" applyAlignment="1">
      <alignment vertical="center" wrapText="1"/>
      <protection locked="0"/>
    </xf>
    <xf numFmtId="0" fontId="88" fillId="0" borderId="0" xfId="0" applyFont="1" applyFill="1" applyBorder="1" applyAlignment="1">
      <alignment horizontal="center" vertical="center"/>
    </xf>
    <xf numFmtId="177" fontId="88" fillId="0" borderId="0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right" vertical="center" wrapText="1"/>
    </xf>
    <xf numFmtId="170" fontId="64" fillId="0" borderId="3" xfId="0" applyNumberFormat="1" applyFont="1" applyFill="1" applyBorder="1" applyAlignment="1">
      <alignment horizontal="right" vertical="center" wrapText="1"/>
    </xf>
    <xf numFmtId="170" fontId="88" fillId="0" borderId="3" xfId="0" applyNumberFormat="1" applyFont="1" applyFill="1" applyBorder="1" applyAlignment="1">
      <alignment horizontal="right" vertical="center" wrapText="1"/>
    </xf>
    <xf numFmtId="0" fontId="87" fillId="0" borderId="0" xfId="182" applyFont="1" applyFill="1" applyBorder="1" applyAlignment="1">
      <alignment vertical="center" wrapText="1"/>
      <protection locked="0"/>
    </xf>
    <xf numFmtId="0" fontId="87" fillId="0" borderId="0" xfId="0" applyFont="1" applyFill="1" applyBorder="1" applyAlignment="1">
      <alignment horizontal="center" vertical="center"/>
    </xf>
    <xf numFmtId="178" fontId="87" fillId="0" borderId="0" xfId="0" applyNumberFormat="1" applyFont="1" applyFill="1" applyBorder="1" applyAlignment="1">
      <alignment horizontal="center" vertical="center" wrapText="1"/>
    </xf>
    <xf numFmtId="178" fontId="87" fillId="0" borderId="3" xfId="0" applyNumberFormat="1" applyFont="1" applyFill="1" applyBorder="1" applyAlignment="1">
      <alignment horizontal="right" vertical="center" wrapText="1"/>
    </xf>
    <xf numFmtId="178" fontId="88" fillId="0" borderId="0" xfId="0" applyNumberFormat="1" applyFont="1" applyFill="1" applyBorder="1" applyAlignment="1">
      <alignment horizontal="center" vertical="center" wrapText="1"/>
    </xf>
    <xf numFmtId="0" fontId="68" fillId="0" borderId="0" xfId="0" applyFont="1" applyFill="1" applyBorder="1" applyAlignment="1" applyProtection="1">
      <alignment horizontal="left" vertical="center"/>
      <protection locked="0"/>
    </xf>
    <xf numFmtId="170" fontId="68" fillId="0" borderId="0" xfId="0" applyNumberFormat="1" applyFont="1" applyFill="1" applyBorder="1" applyAlignment="1">
      <alignment horizontal="center" vertical="center" wrapText="1"/>
    </xf>
    <xf numFmtId="170" fontId="68" fillId="0" borderId="0" xfId="0" applyNumberFormat="1" applyFont="1" applyFill="1" applyBorder="1" applyAlignment="1">
      <alignment horizontal="right" vertical="center" wrapText="1"/>
    </xf>
    <xf numFmtId="170" fontId="64" fillId="0" borderId="0" xfId="0" applyNumberFormat="1" applyFont="1" applyFill="1" applyBorder="1" applyAlignment="1">
      <alignment horizontal="center" vertical="center" wrapText="1"/>
    </xf>
    <xf numFmtId="0" fontId="64" fillId="0" borderId="0" xfId="0" quotePrefix="1" applyFont="1" applyFill="1" applyBorder="1" applyAlignment="1">
      <alignment horizontal="center" vertical="center"/>
    </xf>
    <xf numFmtId="170" fontId="70" fillId="0" borderId="0" xfId="0" applyNumberFormat="1" applyFont="1" applyFill="1" applyBorder="1" applyAlignment="1">
      <alignment vertical="center"/>
    </xf>
    <xf numFmtId="0" fontId="64" fillId="0" borderId="0" xfId="0" applyFont="1" applyFill="1" applyBorder="1" applyAlignment="1">
      <alignment vertical="center" wrapText="1"/>
    </xf>
    <xf numFmtId="178" fontId="80" fillId="0" borderId="3" xfId="0" applyNumberFormat="1" applyFont="1" applyFill="1" applyBorder="1" applyAlignment="1">
      <alignment vertical="center"/>
    </xf>
    <xf numFmtId="179" fontId="77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left" vertical="center"/>
    </xf>
    <xf numFmtId="0" fontId="65" fillId="0" borderId="3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2" fontId="65" fillId="0" borderId="0" xfId="0" applyNumberFormat="1" applyFont="1" applyFill="1" applyBorder="1" applyAlignment="1">
      <alignment vertical="center"/>
    </xf>
    <xf numFmtId="0" fontId="64" fillId="0" borderId="17" xfId="0" applyFont="1" applyFill="1" applyBorder="1" applyAlignment="1">
      <alignment horizontal="center" vertical="center" wrapText="1"/>
    </xf>
    <xf numFmtId="178" fontId="78" fillId="0" borderId="3" xfId="0" applyNumberFormat="1" applyFont="1" applyFill="1" applyBorder="1" applyAlignment="1">
      <alignment vertical="center"/>
    </xf>
    <xf numFmtId="0" fontId="67" fillId="0" borderId="3" xfId="0" applyFont="1" applyFill="1" applyBorder="1" applyAlignment="1">
      <alignment wrapText="1"/>
    </xf>
    <xf numFmtId="0" fontId="67" fillId="0" borderId="3" xfId="0" applyFont="1" applyFill="1" applyBorder="1"/>
    <xf numFmtId="178" fontId="80" fillId="0" borderId="3" xfId="0" applyNumberFormat="1" applyFont="1" applyFill="1" applyBorder="1" applyAlignment="1">
      <alignment horizontal="center" vertical="center" wrapText="1"/>
    </xf>
    <xf numFmtId="0" fontId="68" fillId="0" borderId="0" xfId="0" applyFont="1" applyFill="1" applyAlignment="1">
      <alignment vertical="center"/>
    </xf>
    <xf numFmtId="0" fontId="68" fillId="0" borderId="0" xfId="0" applyFont="1" applyFill="1" applyAlignment="1">
      <alignment horizontal="center" vertical="center"/>
    </xf>
    <xf numFmtId="0" fontId="68" fillId="0" borderId="0" xfId="0" applyFont="1" applyFill="1" applyAlignment="1"/>
    <xf numFmtId="0" fontId="72" fillId="0" borderId="0" xfId="0" applyFont="1" applyFill="1" applyBorder="1" applyAlignment="1">
      <alignment horizontal="center" vertical="center"/>
    </xf>
    <xf numFmtId="169" fontId="64" fillId="0" borderId="0" xfId="0" applyNumberFormat="1" applyFont="1" applyFill="1" applyBorder="1" applyAlignment="1">
      <alignment horizontal="center" vertical="center"/>
    </xf>
    <xf numFmtId="169" fontId="72" fillId="0" borderId="0" xfId="0" applyNumberFormat="1" applyFont="1" applyFill="1" applyBorder="1" applyAlignment="1">
      <alignment vertical="center"/>
    </xf>
    <xf numFmtId="0" fontId="67" fillId="29" borderId="3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vertical="center"/>
    </xf>
    <xf numFmtId="0" fontId="67" fillId="0" borderId="15" xfId="0" applyFont="1" applyFill="1" applyBorder="1" applyAlignment="1">
      <alignment vertical="center" wrapText="1"/>
    </xf>
    <xf numFmtId="0" fontId="67" fillId="29" borderId="3" xfId="0" applyFont="1" applyFill="1" applyBorder="1" applyAlignment="1">
      <alignment vertical="center" wrapText="1"/>
    </xf>
    <xf numFmtId="0" fontId="67" fillId="29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left" vertical="center"/>
    </xf>
    <xf numFmtId="0" fontId="65" fillId="0" borderId="3" xfId="0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right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 vertical="center"/>
    </xf>
    <xf numFmtId="0" fontId="69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center" wrapText="1"/>
    </xf>
    <xf numFmtId="0" fontId="64" fillId="0" borderId="0" xfId="0" applyFont="1" applyFill="1" applyBorder="1" applyAlignment="1">
      <alignment horizontal="center"/>
    </xf>
    <xf numFmtId="0" fontId="64" fillId="0" borderId="0" xfId="0" applyFont="1" applyFill="1" applyAlignment="1">
      <alignment horizontal="center" vertical="center"/>
    </xf>
    <xf numFmtId="0" fontId="79" fillId="0" borderId="13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vertical="center" wrapText="1"/>
    </xf>
    <xf numFmtId="178" fontId="84" fillId="0" borderId="3" xfId="0" applyNumberFormat="1" applyFont="1" applyFill="1" applyBorder="1" applyAlignment="1">
      <alignment horizontal="center" vertical="center"/>
    </xf>
    <xf numFmtId="178" fontId="91" fillId="0" borderId="3" xfId="0" applyNumberFormat="1" applyFont="1" applyFill="1" applyBorder="1" applyAlignment="1">
      <alignment horizontal="center" vertical="center"/>
    </xf>
    <xf numFmtId="169" fontId="65" fillId="0" borderId="3" xfId="0" applyNumberFormat="1" applyFont="1" applyFill="1" applyBorder="1" applyAlignment="1">
      <alignment horizontal="right" vertical="center"/>
    </xf>
    <xf numFmtId="178" fontId="77" fillId="0" borderId="0" xfId="0" applyNumberFormat="1" applyFont="1" applyFill="1" applyBorder="1" applyAlignment="1">
      <alignment horizontal="center" vertical="center"/>
    </xf>
    <xf numFmtId="178" fontId="80" fillId="0" borderId="15" xfId="0" applyNumberFormat="1" applyFont="1" applyFill="1" applyBorder="1" applyAlignment="1">
      <alignment vertical="center"/>
    </xf>
    <xf numFmtId="0" fontId="67" fillId="0" borderId="0" xfId="0" applyFont="1" applyFill="1" applyBorder="1" applyAlignment="1">
      <alignment wrapText="1"/>
    </xf>
    <xf numFmtId="0" fontId="80" fillId="29" borderId="3" xfId="355" applyFont="1" applyFill="1" applyBorder="1" applyAlignment="1">
      <alignment vertical="center" wrapText="1"/>
    </xf>
    <xf numFmtId="0" fontId="67" fillId="0" borderId="3" xfId="0" applyFont="1" applyFill="1" applyBorder="1" applyAlignment="1">
      <alignment horizontal="left" vertical="center" wrapText="1"/>
    </xf>
    <xf numFmtId="0" fontId="67" fillId="0" borderId="3" xfId="0" applyFont="1" applyFill="1" applyBorder="1" applyAlignment="1">
      <alignment horizontal="left" vertical="center"/>
    </xf>
    <xf numFmtId="0" fontId="67" fillId="0" borderId="14" xfId="0" applyFont="1" applyFill="1" applyBorder="1" applyAlignment="1">
      <alignment horizontal="left" vertical="center"/>
    </xf>
    <xf numFmtId="0" fontId="67" fillId="0" borderId="16" xfId="0" applyFont="1" applyFill="1" applyBorder="1" applyAlignment="1">
      <alignment horizontal="left" vertical="center"/>
    </xf>
    <xf numFmtId="178" fontId="83" fillId="0" borderId="3" xfId="0" applyNumberFormat="1" applyFont="1" applyFill="1" applyBorder="1" applyAlignment="1">
      <alignment horizontal="right" vertical="center"/>
    </xf>
    <xf numFmtId="178" fontId="92" fillId="0" borderId="3" xfId="0" applyNumberFormat="1" applyFont="1" applyFill="1" applyBorder="1" applyAlignment="1">
      <alignment horizontal="center" vertical="center" wrapText="1"/>
    </xf>
    <xf numFmtId="0" fontId="93" fillId="0" borderId="0" xfId="349" applyFont="1" applyFill="1" applyBorder="1" applyAlignment="1">
      <alignment vertical="center"/>
    </xf>
    <xf numFmtId="0" fontId="64" fillId="0" borderId="0" xfId="0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 vertical="center"/>
    </xf>
    <xf numFmtId="170" fontId="64" fillId="0" borderId="13" xfId="0" applyNumberFormat="1" applyFont="1" applyFill="1" applyBorder="1" applyAlignment="1">
      <alignment horizontal="center" vertical="center" wrapText="1"/>
    </xf>
    <xf numFmtId="170" fontId="64" fillId="0" borderId="13" xfId="0" quotePrefix="1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/>
    </xf>
    <xf numFmtId="0" fontId="69" fillId="0" borderId="3" xfId="0" applyFont="1" applyFill="1" applyBorder="1" applyAlignment="1" applyProtection="1">
      <alignment horizontal="center" vertical="center"/>
      <protection locked="0"/>
    </xf>
    <xf numFmtId="0" fontId="64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center" vertical="center"/>
    </xf>
    <xf numFmtId="0" fontId="65" fillId="0" borderId="13" xfId="0" applyFont="1" applyFill="1" applyBorder="1" applyAlignment="1">
      <alignment horizontal="center"/>
    </xf>
    <xf numFmtId="0" fontId="68" fillId="0" borderId="3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center"/>
    </xf>
    <xf numFmtId="0" fontId="67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 wrapText="1"/>
    </xf>
    <xf numFmtId="170" fontId="67" fillId="0" borderId="13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left" vertical="center"/>
    </xf>
    <xf numFmtId="0" fontId="65" fillId="0" borderId="3" xfId="0" applyFont="1" applyFill="1" applyBorder="1" applyAlignment="1">
      <alignment horizontal="center" vertical="center"/>
    </xf>
    <xf numFmtId="170" fontId="67" fillId="0" borderId="13" xfId="0" applyNumberFormat="1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7" fillId="0" borderId="15" xfId="0" applyFont="1" applyFill="1" applyBorder="1" applyAlignment="1">
      <alignment horizontal="left" vertical="center" wrapText="1"/>
    </xf>
    <xf numFmtId="0" fontId="67" fillId="0" borderId="14" xfId="0" applyFont="1" applyFill="1" applyBorder="1" applyAlignment="1">
      <alignment horizontal="left" vertical="center" wrapText="1"/>
    </xf>
    <xf numFmtId="0" fontId="67" fillId="0" borderId="16" xfId="0" applyFont="1" applyFill="1" applyBorder="1" applyAlignment="1">
      <alignment horizontal="left" vertical="center" wrapText="1"/>
    </xf>
    <xf numFmtId="0" fontId="67" fillId="0" borderId="15" xfId="0" applyFont="1" applyFill="1" applyBorder="1" applyAlignment="1">
      <alignment horizontal="left" vertical="center"/>
    </xf>
    <xf numFmtId="0" fontId="67" fillId="0" borderId="14" xfId="0" applyFont="1" applyFill="1" applyBorder="1" applyAlignment="1">
      <alignment horizontal="left" vertical="center"/>
    </xf>
    <xf numFmtId="0" fontId="67" fillId="0" borderId="16" xfId="0" applyFont="1" applyFill="1" applyBorder="1" applyAlignment="1">
      <alignment horizontal="left" vertical="center"/>
    </xf>
    <xf numFmtId="3" fontId="68" fillId="0" borderId="15" xfId="0" applyNumberFormat="1" applyFont="1" applyFill="1" applyBorder="1" applyAlignment="1">
      <alignment horizontal="left" vertical="center" wrapText="1"/>
    </xf>
    <xf numFmtId="3" fontId="68" fillId="0" borderId="14" xfId="0" applyNumberFormat="1" applyFont="1" applyFill="1" applyBorder="1" applyAlignment="1">
      <alignment horizontal="left" vertical="center" wrapText="1"/>
    </xf>
    <xf numFmtId="0" fontId="75" fillId="0" borderId="0" xfId="0" applyFont="1" applyFill="1" applyAlignment="1">
      <alignment vertical="center" wrapText="1"/>
    </xf>
    <xf numFmtId="0" fontId="76" fillId="0" borderId="0" xfId="0" applyFont="1" applyFill="1" applyAlignment="1">
      <alignment vertical="center" wrapText="1"/>
    </xf>
    <xf numFmtId="0" fontId="71" fillId="0" borderId="0" xfId="0" applyFont="1" applyFill="1" applyBorder="1" applyAlignment="1">
      <alignment horizontal="center" wrapText="1"/>
    </xf>
    <xf numFmtId="0" fontId="74" fillId="0" borderId="0" xfId="0" applyFont="1" applyFill="1" applyAlignment="1">
      <alignment horizontal="center"/>
    </xf>
    <xf numFmtId="0" fontId="64" fillId="0" borderId="0" xfId="0" applyFont="1" applyFill="1" applyBorder="1" applyAlignment="1">
      <alignment horizontal="center"/>
    </xf>
    <xf numFmtId="0" fontId="64" fillId="0" borderId="0" xfId="0" applyFont="1" applyFill="1" applyAlignment="1">
      <alignment horizontal="center" vertical="center"/>
    </xf>
    <xf numFmtId="0" fontId="67" fillId="0" borderId="3" xfId="0" applyFont="1" applyFill="1" applyBorder="1" applyAlignment="1">
      <alignment horizontal="left" vertical="center" wrapText="1"/>
    </xf>
    <xf numFmtId="0" fontId="67" fillId="0" borderId="15" xfId="0" applyFont="1" applyFill="1" applyBorder="1" applyAlignment="1">
      <alignment horizontal="left" wrapText="1"/>
    </xf>
    <xf numFmtId="0" fontId="67" fillId="0" borderId="14" xfId="0" applyFont="1" applyFill="1" applyBorder="1" applyAlignment="1">
      <alignment horizontal="left" wrapText="1"/>
    </xf>
    <xf numFmtId="0" fontId="67" fillId="0" borderId="16" xfId="0" applyFont="1" applyFill="1" applyBorder="1" applyAlignment="1">
      <alignment horizontal="left" wrapText="1"/>
    </xf>
    <xf numFmtId="0" fontId="68" fillId="0" borderId="0" xfId="0" applyFont="1" applyFill="1" applyBorder="1" applyAlignment="1">
      <alignment horizontal="center" vertical="center"/>
    </xf>
    <xf numFmtId="0" fontId="65" fillId="0" borderId="15" xfId="0" applyFont="1" applyFill="1" applyBorder="1" applyAlignment="1">
      <alignment horizontal="left" vertical="center" wrapText="1"/>
    </xf>
    <xf numFmtId="0" fontId="65" fillId="0" borderId="14" xfId="0" applyFont="1" applyFill="1" applyBorder="1" applyAlignment="1">
      <alignment horizontal="left" vertical="center" wrapText="1"/>
    </xf>
    <xf numFmtId="0" fontId="65" fillId="0" borderId="16" xfId="0" applyFont="1" applyFill="1" applyBorder="1" applyAlignment="1">
      <alignment horizontal="left" vertical="center" wrapText="1"/>
    </xf>
    <xf numFmtId="178" fontId="65" fillId="0" borderId="3" xfId="0" applyNumberFormat="1" applyFont="1" applyFill="1" applyBorder="1" applyAlignment="1">
      <alignment horizontal="left" vertical="center" wrapText="1"/>
    </xf>
    <xf numFmtId="178" fontId="67" fillId="0" borderId="3" xfId="0" applyNumberFormat="1" applyFont="1" applyFill="1" applyBorder="1" applyAlignment="1">
      <alignment horizontal="left" vertical="center" wrapText="1"/>
    </xf>
    <xf numFmtId="0" fontId="90" fillId="0" borderId="15" xfId="355" applyFont="1" applyFill="1" applyBorder="1" applyAlignment="1">
      <alignment horizontal="left" vertical="center" wrapText="1"/>
    </xf>
    <xf numFmtId="0" fontId="90" fillId="0" borderId="14" xfId="355" applyFont="1" applyFill="1" applyBorder="1" applyAlignment="1">
      <alignment horizontal="left" vertical="center" wrapText="1"/>
    </xf>
    <xf numFmtId="0" fontId="90" fillId="0" borderId="16" xfId="355" applyFont="1" applyFill="1" applyBorder="1" applyAlignment="1">
      <alignment horizontal="left" vertical="center" wrapText="1"/>
    </xf>
    <xf numFmtId="178" fontId="65" fillId="0" borderId="0" xfId="0" applyNumberFormat="1" applyFont="1" applyFill="1" applyBorder="1" applyAlignment="1">
      <alignment horizontal="center" vertical="center"/>
    </xf>
    <xf numFmtId="178" fontId="81" fillId="0" borderId="3" xfId="0" applyNumberFormat="1" applyFont="1" applyFill="1" applyBorder="1" applyAlignment="1">
      <alignment horizontal="center" vertical="center" wrapText="1"/>
    </xf>
    <xf numFmtId="0" fontId="94" fillId="0" borderId="0" xfId="356" applyFont="1" applyFill="1"/>
    <xf numFmtId="4" fontId="95" fillId="0" borderId="0" xfId="356" applyNumberFormat="1" applyFont="1" applyFill="1"/>
    <xf numFmtId="0" fontId="65" fillId="0" borderId="3" xfId="0" applyFont="1" applyFill="1" applyBorder="1" applyAlignment="1">
      <alignment horizontal="left" vertical="center"/>
    </xf>
    <xf numFmtId="0" fontId="65" fillId="0" borderId="3" xfId="0" applyFont="1" applyFill="1" applyBorder="1" applyAlignment="1">
      <alignment horizontal="center" vertical="center" wrapText="1"/>
    </xf>
    <xf numFmtId="178" fontId="78" fillId="0" borderId="3" xfId="0" applyNumberFormat="1" applyFont="1" applyFill="1" applyBorder="1" applyAlignment="1">
      <alignment horizontal="center" vertical="center" wrapText="1"/>
    </xf>
  </cellXfs>
  <cellStyles count="357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Гиперссылка" xfId="355" builtinId="8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4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20" xfId="3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gdp"/>
      <sheetName val="7  інші витрати"/>
      <sheetName val="Ener 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dzo.com.ua/tenders/20078403" TargetMode="External"/><Relationship Id="rId1" Type="http://schemas.openxmlformats.org/officeDocument/2006/relationships/hyperlink" Target="https://www.dzo.com.ua/tenders/20078403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dzo.com.ua/tenders/20078403" TargetMode="External"/><Relationship Id="rId1" Type="http://schemas.openxmlformats.org/officeDocument/2006/relationships/hyperlink" Target="https://www.dzo.com.ua/tenders/200784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R251"/>
  <sheetViews>
    <sheetView tabSelected="1" view="pageBreakPreview" topLeftCell="A43" zoomScale="60" zoomScaleNormal="75" workbookViewId="0">
      <selection activeCell="K62" sqref="K62"/>
    </sheetView>
  </sheetViews>
  <sheetFormatPr defaultRowHeight="20.25"/>
  <cols>
    <col min="1" max="1" width="65.42578125" style="111" customWidth="1"/>
    <col min="2" max="2" width="17.28515625" style="200" customWidth="1"/>
    <col min="3" max="4" width="18" style="200" customWidth="1"/>
    <col min="5" max="5" width="18.7109375" style="111" customWidth="1"/>
    <col min="6" max="6" width="19" style="111" customWidth="1"/>
    <col min="7" max="7" width="18.7109375" style="111" customWidth="1"/>
    <col min="8" max="8" width="19.7109375" style="111" customWidth="1"/>
    <col min="9" max="9" width="22.85546875" style="127" customWidth="1"/>
    <col min="10" max="10" width="18.85546875" style="111" customWidth="1"/>
    <col min="11" max="11" width="17.42578125" style="111" customWidth="1"/>
    <col min="12" max="12" width="13.85546875" style="111" customWidth="1"/>
    <col min="13" max="13" width="17" style="111" customWidth="1"/>
    <col min="14" max="16" width="9.140625" style="111"/>
    <col min="17" max="17" width="11.42578125" style="111" bestFit="1" customWidth="1"/>
    <col min="18" max="18" width="18.5703125" style="111" customWidth="1"/>
    <col min="19" max="16384" width="9.140625" style="111"/>
  </cols>
  <sheetData>
    <row r="1" spans="1:10" ht="111" customHeight="1">
      <c r="A1" s="237" t="s">
        <v>354</v>
      </c>
      <c r="B1" s="236"/>
      <c r="C1" s="236"/>
      <c r="D1" s="236"/>
      <c r="E1" s="236"/>
      <c r="F1" s="236"/>
      <c r="G1" s="236"/>
      <c r="H1" s="236"/>
    </row>
    <row r="2" spans="1:10" ht="30" customHeight="1">
      <c r="A2" s="236" t="s">
        <v>18</v>
      </c>
      <c r="B2" s="236"/>
      <c r="C2" s="236"/>
      <c r="D2" s="236"/>
      <c r="E2" s="236"/>
      <c r="F2" s="236"/>
      <c r="G2" s="236"/>
      <c r="H2" s="236"/>
    </row>
    <row r="3" spans="1:10" ht="23.25" customHeight="1">
      <c r="B3" s="201"/>
      <c r="C3" s="209"/>
      <c r="D3" s="201"/>
      <c r="E3" s="201"/>
      <c r="F3" s="201"/>
      <c r="G3" s="201"/>
      <c r="H3" s="123" t="s">
        <v>57</v>
      </c>
    </row>
    <row r="4" spans="1:10" ht="75.75" customHeight="1">
      <c r="A4" s="233" t="s">
        <v>23</v>
      </c>
      <c r="B4" s="232" t="s">
        <v>5</v>
      </c>
      <c r="C4" s="232" t="s">
        <v>120</v>
      </c>
      <c r="D4" s="232"/>
      <c r="E4" s="233" t="s">
        <v>364</v>
      </c>
      <c r="F4" s="233"/>
      <c r="G4" s="233"/>
      <c r="H4" s="233"/>
    </row>
    <row r="5" spans="1:10" ht="47.25" customHeight="1">
      <c r="A5" s="233"/>
      <c r="B5" s="232"/>
      <c r="C5" s="199" t="s">
        <v>362</v>
      </c>
      <c r="D5" s="199" t="s">
        <v>363</v>
      </c>
      <c r="E5" s="124" t="s">
        <v>106</v>
      </c>
      <c r="F5" s="124" t="s">
        <v>107</v>
      </c>
      <c r="G5" s="124" t="s">
        <v>108</v>
      </c>
      <c r="H5" s="124" t="s">
        <v>109</v>
      </c>
    </row>
    <row r="6" spans="1:10" ht="29.25" customHeight="1">
      <c r="A6" s="198">
        <v>1</v>
      </c>
      <c r="B6" s="199">
        <v>2</v>
      </c>
      <c r="C6" s="199">
        <v>3</v>
      </c>
      <c r="D6" s="199">
        <v>5</v>
      </c>
      <c r="E6" s="199">
        <v>7</v>
      </c>
      <c r="F6" s="199">
        <v>8</v>
      </c>
      <c r="G6" s="199">
        <v>9</v>
      </c>
      <c r="H6" s="199">
        <v>10</v>
      </c>
    </row>
    <row r="7" spans="1:10" ht="33" customHeight="1">
      <c r="A7" s="238" t="s">
        <v>98</v>
      </c>
      <c r="B7" s="238"/>
      <c r="C7" s="238"/>
      <c r="D7" s="238"/>
      <c r="E7" s="238"/>
      <c r="F7" s="238"/>
      <c r="G7" s="238"/>
      <c r="H7" s="238"/>
    </row>
    <row r="8" spans="1:10" ht="48.75" customHeight="1">
      <c r="A8" s="125" t="s">
        <v>121</v>
      </c>
      <c r="B8" s="126">
        <v>1000</v>
      </c>
      <c r="C8" s="97">
        <f>'Розшифровка 1 до Формування'!D7</f>
        <v>93486.3</v>
      </c>
      <c r="D8" s="97">
        <f>'Розшифровка 1 до Формування'!F7</f>
        <v>118470</v>
      </c>
      <c r="E8" s="97">
        <f>'Розшифровка 1 до Формування'!E7</f>
        <v>102951.5</v>
      </c>
      <c r="F8" s="97">
        <f>D8</f>
        <v>118470</v>
      </c>
      <c r="G8" s="97">
        <f>F8-E8</f>
        <v>15518.5</v>
      </c>
      <c r="H8" s="97">
        <f>(F8/E8)*100</f>
        <v>115.0736026187088</v>
      </c>
      <c r="J8" s="127"/>
    </row>
    <row r="9" spans="1:10" ht="47.25" customHeight="1">
      <c r="A9" s="125" t="s">
        <v>67</v>
      </c>
      <c r="B9" s="126">
        <v>1010</v>
      </c>
      <c r="C9" s="97">
        <f>SUM(C10:C14)</f>
        <v>-92226.2</v>
      </c>
      <c r="D9" s="97">
        <f>SUM(D10:D14)</f>
        <v>-119847.1</v>
      </c>
      <c r="E9" s="97">
        <f>SUM(E10:E14)</f>
        <v>-109284.20000000001</v>
      </c>
      <c r="F9" s="97">
        <f t="shared" ref="F9:F43" si="0">D9</f>
        <v>-119847.1</v>
      </c>
      <c r="G9" s="97">
        <f t="shared" ref="G9:G43" si="1">F9-E9</f>
        <v>-10562.899999999994</v>
      </c>
      <c r="H9" s="97">
        <f t="shared" ref="H9:H43" si="2">(F9/E9)*100</f>
        <v>109.665532620452</v>
      </c>
      <c r="J9" s="127"/>
    </row>
    <row r="10" spans="1:10" ht="30" customHeight="1">
      <c r="A10" s="128" t="s">
        <v>68</v>
      </c>
      <c r="B10" s="198">
        <v>1011</v>
      </c>
      <c r="C10" s="129">
        <f>-SUM('Розшифровка 2 до формування'!D10,'Розшифровка 2 до формування'!D58,'Розшифровка 2 до формування'!D113,'Розшифровка 2 до формування'!D127,'Розшифровка 2 до формування'!D150,'Розшифровка 2 до формування'!D182,'Розшифровка 2 до формування'!D209,'Розшифровка 2 до формування'!D214)</f>
        <v>-20453.100000000002</v>
      </c>
      <c r="D10" s="129">
        <f>-SUM('Розшифровка 2 до формування'!F10,'Розшифровка 2 до формування'!F58,'Розшифровка 2 до формування'!F113,'Розшифровка 2 до формування'!F127,'Розшифровка 2 до формування'!F150,'Розшифровка 2 до формування'!F182,'Розшифровка 2 до формування'!F209,'Розшифровка 2 до формування'!F214,)</f>
        <v>-23657.999999999996</v>
      </c>
      <c r="E10" s="129">
        <f>-SUM('Розшифровка 2 до формування'!E10,'Розшифровка 2 до формування'!E58,'Розшифровка 2 до формування'!E113,'Розшифровка 2 до формування'!E127,'Розшифровка 2 до формування'!E150,'Розшифровка 2 до формування'!E182,'Розшифровка 2 до формування'!E209,'Розшифровка 2 до формування'!E214,)</f>
        <v>-18819.5</v>
      </c>
      <c r="F10" s="97">
        <f t="shared" si="0"/>
        <v>-23657.999999999996</v>
      </c>
      <c r="G10" s="129">
        <f t="shared" si="1"/>
        <v>-4838.4999999999964</v>
      </c>
      <c r="H10" s="129">
        <f t="shared" si="2"/>
        <v>125.71003480432528</v>
      </c>
      <c r="J10" s="127"/>
    </row>
    <row r="11" spans="1:10" ht="28.5" customHeight="1">
      <c r="A11" s="128" t="s">
        <v>2</v>
      </c>
      <c r="B11" s="198">
        <v>1012</v>
      </c>
      <c r="C11" s="129">
        <f>-SUM('Розшифровка 2 до формування'!D16,'Розшифровка 2 до формування'!D64,)</f>
        <v>-49447.899999999994</v>
      </c>
      <c r="D11" s="129">
        <f>-SUM('Розшифровка 2 до формування'!F16,'Розшифровка 2 до формування'!F64,)</f>
        <v>-66935.7</v>
      </c>
      <c r="E11" s="129">
        <f>-SUM('Розшифровка 2 до формування'!E16,'Розшифровка 2 до формування'!E64,)</f>
        <v>-62223.1</v>
      </c>
      <c r="F11" s="97">
        <f t="shared" si="0"/>
        <v>-66935.7</v>
      </c>
      <c r="G11" s="129">
        <f t="shared" si="1"/>
        <v>-4712.5999999999985</v>
      </c>
      <c r="H11" s="129">
        <f t="shared" si="2"/>
        <v>107.57371458509782</v>
      </c>
      <c r="J11" s="127"/>
    </row>
    <row r="12" spans="1:10" ht="29.25" customHeight="1">
      <c r="A12" s="128" t="s">
        <v>3</v>
      </c>
      <c r="B12" s="198">
        <v>1013</v>
      </c>
      <c r="C12" s="129">
        <f>-SUM('Розшифровка 2 до формування'!D17,'Розшифровка 2 до формування'!D65,)</f>
        <v>-10535.199999999999</v>
      </c>
      <c r="D12" s="129">
        <f>-SUM('Розшифровка 2 до формування'!F17,'Розшифровка 2 до формування'!F65,)</f>
        <v>-14004.1</v>
      </c>
      <c r="E12" s="129">
        <f>-SUM('Розшифровка 2 до формування'!E17,'Розшифровка 2 до формування'!E65,)</f>
        <v>-13565.1</v>
      </c>
      <c r="F12" s="97">
        <f t="shared" si="0"/>
        <v>-14004.1</v>
      </c>
      <c r="G12" s="129">
        <f t="shared" si="1"/>
        <v>-439</v>
      </c>
      <c r="H12" s="129">
        <f t="shared" si="2"/>
        <v>103.23624595469256</v>
      </c>
      <c r="J12" s="127"/>
    </row>
    <row r="13" spans="1:10" ht="29.25" customHeight="1">
      <c r="A13" s="128" t="s">
        <v>4</v>
      </c>
      <c r="B13" s="198">
        <v>1014</v>
      </c>
      <c r="C13" s="129">
        <f>-SUM('Розшифровка 2 до формування'!D18,'Розшифровка 2 до формування'!D66,'Розшифровка 2 до формування'!D188,'Розшифровка 2 до формування'!D219,'Розшифровка 2 до формування'!D253)</f>
        <v>-4522.2</v>
      </c>
      <c r="D13" s="129">
        <f>-SUM('Розшифровка 2 до формування'!F18,'Розшифровка 2 до формування'!F66,'Розшифровка 2 до формування'!F188,'Розшифровка 2 до формування'!F219,'Розшифровка 2 до формування'!F253)</f>
        <v>-5075.8</v>
      </c>
      <c r="E13" s="129">
        <f>-SUM('Розшифровка 2 до формування'!E18,'Розшифровка 2 до формування'!E66,'Розшифровка 2 до формування'!E188,'Розшифровка 2 до формування'!E219,'Розшифровка 2 до формування'!E253)</f>
        <v>-3210</v>
      </c>
      <c r="F13" s="97">
        <f t="shared" si="0"/>
        <v>-5075.8</v>
      </c>
      <c r="G13" s="129">
        <f t="shared" ref="G13" si="3">F13-E13</f>
        <v>-1865.8000000000002</v>
      </c>
      <c r="H13" s="129">
        <f t="shared" ref="H13" si="4">(F13/E13)*100</f>
        <v>158.12461059190034</v>
      </c>
      <c r="J13" s="127"/>
    </row>
    <row r="14" spans="1:10" ht="30" customHeight="1">
      <c r="A14" s="128" t="s">
        <v>50</v>
      </c>
      <c r="B14" s="198">
        <v>1015</v>
      </c>
      <c r="C14" s="129">
        <f>-SUM('Розшифровка 2 до формування'!D19,'Розшифровка 2 до формування'!D67,'Розшифровка 2 до формування'!D115,'Розшифровка 2 до формування'!D131,'Розшифровка 2 до формування'!D165,'Розшифровка 2 до формування'!D189,'Розшифровка 2 до формування'!D220,)</f>
        <v>-7267.8</v>
      </c>
      <c r="D14" s="129">
        <f>-SUM('Розшифровка 2 до формування'!F19,'Розшифровка 2 до формування'!F67,'Розшифровка 2 до формування'!F115,'Розшифровка 2 до формування'!F131,'Розшифровка 2 до формування'!F165,'Розшифровка 2 до формування'!F189,'Розшифровка 2 до формування'!F220,)</f>
        <v>-10173.5</v>
      </c>
      <c r="E14" s="129">
        <f>-SUM('Розшифровка 2 до формування'!E19,'Розшифровка 2 до формування'!E67,'Розшифровка 2 до формування'!E115,'Розшифровка 2 до формування'!E131,'Розшифровка 2 до формування'!E165,'Розшифровка 2 до формування'!E189,)</f>
        <v>-11466.5</v>
      </c>
      <c r="F14" s="97">
        <f t="shared" si="0"/>
        <v>-10173.5</v>
      </c>
      <c r="G14" s="129">
        <f t="shared" si="1"/>
        <v>1293</v>
      </c>
      <c r="H14" s="129">
        <f t="shared" si="2"/>
        <v>88.723673309205083</v>
      </c>
      <c r="J14" s="127"/>
    </row>
    <row r="15" spans="1:10" ht="28.5" customHeight="1">
      <c r="A15" s="125" t="s">
        <v>25</v>
      </c>
      <c r="B15" s="198">
        <v>1020</v>
      </c>
      <c r="C15" s="97">
        <f>SUM(C8:C9)</f>
        <v>1260.1000000000058</v>
      </c>
      <c r="D15" s="97">
        <f>SUM(D8:D9)</f>
        <v>-1377.1000000000058</v>
      </c>
      <c r="E15" s="97">
        <f>SUM(E8:E9)</f>
        <v>-6332.7000000000116</v>
      </c>
      <c r="F15" s="97">
        <f t="shared" si="0"/>
        <v>-1377.1000000000058</v>
      </c>
      <c r="G15" s="97">
        <f t="shared" si="1"/>
        <v>4955.6000000000058</v>
      </c>
      <c r="H15" s="97">
        <f t="shared" si="2"/>
        <v>21.745858796406008</v>
      </c>
    </row>
    <row r="16" spans="1:10" ht="42" customHeight="1">
      <c r="A16" s="125" t="s">
        <v>89</v>
      </c>
      <c r="B16" s="126">
        <v>1020</v>
      </c>
      <c r="C16" s="97">
        <f>SUM(C17:C21)</f>
        <v>-5591.3</v>
      </c>
      <c r="D16" s="97">
        <f>SUM(D17:D21)</f>
        <v>-8005.2000000000007</v>
      </c>
      <c r="E16" s="97">
        <f>SUM(E17:E21)</f>
        <v>-8858.4</v>
      </c>
      <c r="F16" s="97">
        <f t="shared" si="0"/>
        <v>-8005.2000000000007</v>
      </c>
      <c r="G16" s="97">
        <f t="shared" si="1"/>
        <v>853.19999999999891</v>
      </c>
      <c r="H16" s="97">
        <f t="shared" si="2"/>
        <v>90.368463830940144</v>
      </c>
    </row>
    <row r="17" spans="1:8" ht="27.75" customHeight="1">
      <c r="A17" s="128" t="s">
        <v>68</v>
      </c>
      <c r="B17" s="198">
        <v>1021</v>
      </c>
      <c r="C17" s="129">
        <f>-SUM('Розшифровка 2 до формування'!D38,'Розшифровка 2 до формування'!D90,'Розшифровка 2 до формування'!D140,'Розшифровка 2 до формування'!D201,'Розшифровка 2 до формування'!D232)</f>
        <v>-179.20000000000002</v>
      </c>
      <c r="D17" s="129">
        <f>F17</f>
        <v>-42.2</v>
      </c>
      <c r="E17" s="129">
        <f>-SUM('Розшифровка 2 до формування'!E38,'Розшифровка 2 до формування'!E90,'Розшифровка 2 до формування'!E140,'Розшифровка 2 до формування'!E201,'Розшифровка 2 до формування'!E232,)</f>
        <v>-11.3</v>
      </c>
      <c r="F17" s="97">
        <f>-SUM('Розшифровка 2 до формування'!F38,'Розшифровка 2 до формування'!F90,'Розшифровка 2 до формування'!F140,'Розшифровка 2 до формування'!F201,'Розшифровка 2 до формування'!F232,)</f>
        <v>-42.2</v>
      </c>
      <c r="G17" s="129">
        <f t="shared" si="1"/>
        <v>-30.900000000000002</v>
      </c>
      <c r="H17" s="129">
        <f t="shared" si="2"/>
        <v>373.45132743362831</v>
      </c>
    </row>
    <row r="18" spans="1:8" ht="27.75" customHeight="1">
      <c r="A18" s="128" t="s">
        <v>2</v>
      </c>
      <c r="B18" s="198">
        <v>1022</v>
      </c>
      <c r="C18" s="129">
        <f>-SUM('Розшифровка 2 до формування'!D42,)</f>
        <v>-3725.4</v>
      </c>
      <c r="D18" s="129">
        <f t="shared" ref="D18:D21" si="5">F18</f>
        <v>-4556.3</v>
      </c>
      <c r="E18" s="129">
        <f>-SUM('Розшифровка 2 до формування'!E42,)</f>
        <v>-6510.4</v>
      </c>
      <c r="F18" s="97">
        <f>-SUM('Розшифровка 2 до формування'!F42,)</f>
        <v>-4556.3</v>
      </c>
      <c r="G18" s="129">
        <f t="shared" si="1"/>
        <v>1954.0999999999995</v>
      </c>
      <c r="H18" s="129">
        <f t="shared" si="2"/>
        <v>69.984947161464746</v>
      </c>
    </row>
    <row r="19" spans="1:8" ht="27.75" customHeight="1">
      <c r="A19" s="128" t="s">
        <v>3</v>
      </c>
      <c r="B19" s="198">
        <v>1023</v>
      </c>
      <c r="C19" s="129">
        <f>-SUM('Розшифровка 2 до формування'!D43,)</f>
        <v>-754.6</v>
      </c>
      <c r="D19" s="129">
        <f t="shared" si="5"/>
        <v>-974.7</v>
      </c>
      <c r="E19" s="129">
        <f>-SUM('Розшифровка 2 до формування'!E43,)</f>
        <v>-1419.3</v>
      </c>
      <c r="F19" s="97">
        <f>-SUM('Розшифровка 2 до формування'!F43,)</f>
        <v>-974.7</v>
      </c>
      <c r="G19" s="129">
        <f t="shared" si="1"/>
        <v>444.59999999999991</v>
      </c>
      <c r="H19" s="129">
        <f t="shared" si="2"/>
        <v>68.674698795180731</v>
      </c>
    </row>
    <row r="20" spans="1:8" ht="27.75" customHeight="1">
      <c r="A20" s="128" t="s">
        <v>4</v>
      </c>
      <c r="B20" s="198">
        <v>1024</v>
      </c>
      <c r="C20" s="129">
        <f>-SUM('Розшифровка 2 до формування'!D256)</f>
        <v>-236.6</v>
      </c>
      <c r="D20" s="129">
        <f t="shared" si="5"/>
        <v>-1380.4</v>
      </c>
      <c r="E20" s="129">
        <f>-SUM('Розшифровка 2 до формування'!E256)</f>
        <v>-177</v>
      </c>
      <c r="F20" s="97">
        <f>-SUM('Розшифровка 2 до формування'!F256)</f>
        <v>-1380.4</v>
      </c>
      <c r="G20" s="130">
        <f t="shared" si="1"/>
        <v>-1203.4000000000001</v>
      </c>
      <c r="H20" s="130">
        <f t="shared" si="2"/>
        <v>779.88700564971759</v>
      </c>
    </row>
    <row r="21" spans="1:8" ht="27.75" customHeight="1">
      <c r="A21" s="128" t="s">
        <v>69</v>
      </c>
      <c r="B21" s="198">
        <v>1025</v>
      </c>
      <c r="C21" s="129">
        <f>-SUM('Розшифровка 2 до формування'!D44,'Розшифровка 2 до формування'!D94,'Розшифровка 2 до формування'!D119,'Розшифровка 2 до формування'!D142,'Розшифровка 2 до формування'!D171,'Розшифровка 2 до формування'!D204,'Розшифровка 2 до формування'!D235,)</f>
        <v>-695.50000000000011</v>
      </c>
      <c r="D21" s="129">
        <f t="shared" si="5"/>
        <v>-1051.6000000000001</v>
      </c>
      <c r="E21" s="129">
        <f>-SUM('Розшифровка 2 до формування'!E44,'Розшифровка 2 до формування'!E94,'Розшифровка 2 до формування'!E119,'Розшифровка 2 до формування'!E142,'Розшифровка 2 до формування'!E171,'Розшифровка 2 до формування'!E204,'Розшифровка 2 до формування'!E235,)</f>
        <v>-740.4</v>
      </c>
      <c r="F21" s="97">
        <f>-SUM('Розшифровка 2 до формування'!F44,'Розшифровка 2 до формування'!F94,'Розшифровка 2 до формування'!F119,'Розшифровка 2 до формування'!F142,'Розшифровка 2 до формування'!F171,'Розшифровка 2 до формування'!F204,'Розшифровка 2 до формування'!F235,)</f>
        <v>-1051.6000000000001</v>
      </c>
      <c r="G21" s="129">
        <f t="shared" si="1"/>
        <v>-311.20000000000016</v>
      </c>
      <c r="H21" s="129">
        <f t="shared" si="2"/>
        <v>142.03133441383039</v>
      </c>
    </row>
    <row r="22" spans="1:8" ht="38.25" customHeight="1">
      <c r="A22" s="125" t="s">
        <v>35</v>
      </c>
      <c r="B22" s="126">
        <v>1040</v>
      </c>
      <c r="C22" s="97">
        <f>SUM(C23:C24)</f>
        <v>18176.400000000001</v>
      </c>
      <c r="D22" s="97">
        <f>SUM(D23:D24)</f>
        <v>17830.7</v>
      </c>
      <c r="E22" s="97">
        <f>SUM(E23:E24)</f>
        <v>11490.9</v>
      </c>
      <c r="F22" s="97">
        <f t="shared" si="0"/>
        <v>17830.7</v>
      </c>
      <c r="G22" s="97">
        <f t="shared" si="1"/>
        <v>6339.8000000000011</v>
      </c>
      <c r="H22" s="97">
        <f t="shared" si="2"/>
        <v>155.17235377559635</v>
      </c>
    </row>
    <row r="23" spans="1:8" ht="30.75" customHeight="1">
      <c r="A23" s="128" t="s">
        <v>36</v>
      </c>
      <c r="B23" s="198">
        <v>1041</v>
      </c>
      <c r="C23" s="129"/>
      <c r="D23" s="129"/>
      <c r="E23" s="129"/>
      <c r="F23" s="97">
        <f t="shared" si="0"/>
        <v>0</v>
      </c>
      <c r="G23" s="129">
        <f t="shared" si="1"/>
        <v>0</v>
      </c>
      <c r="H23" s="130" t="e">
        <f t="shared" si="2"/>
        <v>#DIV/0!</v>
      </c>
    </row>
    <row r="24" spans="1:8" ht="27.75" customHeight="1">
      <c r="A24" s="128" t="s">
        <v>37</v>
      </c>
      <c r="B24" s="198">
        <v>1042</v>
      </c>
      <c r="C24" s="129">
        <f>'Розшифровка 1 до Формування'!D10</f>
        <v>18176.400000000001</v>
      </c>
      <c r="D24" s="129">
        <f>'Розшифровка 1 до Формування'!F10</f>
        <v>17830.7</v>
      </c>
      <c r="E24" s="129">
        <f>'Розшифровка 1 до Формування'!E10</f>
        <v>11490.9</v>
      </c>
      <c r="F24" s="97">
        <f t="shared" si="0"/>
        <v>17830.7</v>
      </c>
      <c r="G24" s="129">
        <f t="shared" si="1"/>
        <v>6339.8000000000011</v>
      </c>
      <c r="H24" s="129">
        <f t="shared" si="2"/>
        <v>155.17235377559635</v>
      </c>
    </row>
    <row r="25" spans="1:8" ht="42.75" customHeight="1">
      <c r="A25" s="125" t="s">
        <v>12</v>
      </c>
      <c r="B25" s="126">
        <v>1030</v>
      </c>
      <c r="C25" s="97">
        <f>SUM(C26:C30)</f>
        <v>-1296.0999999999999</v>
      </c>
      <c r="D25" s="97">
        <f>SUM(D26:D30)</f>
        <v>-1313.3</v>
      </c>
      <c r="E25" s="97">
        <f>SUM(E26:E30)</f>
        <v>-210.3</v>
      </c>
      <c r="F25" s="97">
        <f t="shared" si="0"/>
        <v>-1313.3</v>
      </c>
      <c r="G25" s="97">
        <f t="shared" si="1"/>
        <v>-1103</v>
      </c>
      <c r="H25" s="97">
        <f t="shared" si="2"/>
        <v>624.48882548739891</v>
      </c>
    </row>
    <row r="26" spans="1:8" ht="27.75" customHeight="1">
      <c r="A26" s="128" t="s">
        <v>68</v>
      </c>
      <c r="B26" s="198">
        <v>1031</v>
      </c>
      <c r="C26" s="129"/>
      <c r="D26" s="129">
        <v>0</v>
      </c>
      <c r="E26" s="129"/>
      <c r="F26" s="97">
        <f t="shared" si="0"/>
        <v>0</v>
      </c>
      <c r="G26" s="130">
        <f t="shared" si="1"/>
        <v>0</v>
      </c>
      <c r="H26" s="130" t="e">
        <f t="shared" si="2"/>
        <v>#DIV/0!</v>
      </c>
    </row>
    <row r="27" spans="1:8" ht="27.75" customHeight="1">
      <c r="A27" s="128" t="s">
        <v>2</v>
      </c>
      <c r="B27" s="198">
        <v>1032</v>
      </c>
      <c r="C27" s="129">
        <f>-SUM('Розшифровка 2 до формування'!D51,)</f>
        <v>-889.6</v>
      </c>
      <c r="D27" s="129">
        <f>-SUM('Розшифровка 2 до формування'!F51,)</f>
        <v>-796.9</v>
      </c>
      <c r="E27" s="129"/>
      <c r="F27" s="97">
        <f t="shared" si="0"/>
        <v>-796.9</v>
      </c>
      <c r="G27" s="129">
        <f t="shared" ref="G27:G28" si="6">F27-E27</f>
        <v>-796.9</v>
      </c>
      <c r="H27" s="130" t="e">
        <f t="shared" ref="H27:H28" si="7">(F27/E27)*100</f>
        <v>#DIV/0!</v>
      </c>
    </row>
    <row r="28" spans="1:8" ht="27.75" customHeight="1">
      <c r="A28" s="128" t="s">
        <v>3</v>
      </c>
      <c r="B28" s="198">
        <v>1033</v>
      </c>
      <c r="C28" s="129">
        <f>-SUM('Розшифровка 2 до формування'!D52,)</f>
        <v>-228</v>
      </c>
      <c r="D28" s="129">
        <f>-SUM('Розшифровка 2 до формування'!F52,)</f>
        <v>-295.89999999999998</v>
      </c>
      <c r="E28" s="129"/>
      <c r="F28" s="97">
        <f t="shared" si="0"/>
        <v>-295.89999999999998</v>
      </c>
      <c r="G28" s="129">
        <f t="shared" si="6"/>
        <v>-295.89999999999998</v>
      </c>
      <c r="H28" s="130" t="e">
        <f t="shared" si="7"/>
        <v>#DIV/0!</v>
      </c>
    </row>
    <row r="29" spans="1:8" ht="27.75" customHeight="1">
      <c r="A29" s="128" t="s">
        <v>4</v>
      </c>
      <c r="B29" s="198">
        <v>1034</v>
      </c>
      <c r="C29" s="129"/>
      <c r="D29" s="129"/>
      <c r="E29" s="129"/>
      <c r="F29" s="97">
        <f t="shared" si="0"/>
        <v>0</v>
      </c>
      <c r="G29" s="130">
        <f t="shared" si="1"/>
        <v>0</v>
      </c>
      <c r="H29" s="130" t="e">
        <f t="shared" si="2"/>
        <v>#DIV/0!</v>
      </c>
    </row>
    <row r="30" spans="1:8" ht="27.75" customHeight="1">
      <c r="A30" s="128" t="s">
        <v>70</v>
      </c>
      <c r="B30" s="198">
        <v>1035</v>
      </c>
      <c r="C30" s="129">
        <f>-SUM('Розшифровка 2 до формування'!D53,'Розшифровка 2 до формування'!D106,'Розшифровка 2 до формування'!D158,'Розшифровка 2 до формування'!D177,'Розшифровка 2 до формування'!D247)</f>
        <v>-178.5</v>
      </c>
      <c r="D30" s="129">
        <f>F30</f>
        <v>-220.5</v>
      </c>
      <c r="E30" s="129">
        <f>-SUM('Розшифровка 2 до формування'!E53,'Розшифровка 2 до формування'!E106,'Розшифровка 2 до формування'!E158,'Розшифровка 2 до формування'!E177,'Розшифровка 2 до формування'!E247,)</f>
        <v>-210.3</v>
      </c>
      <c r="F30" s="97">
        <f>-SUM('Розшифровка 2 до формування'!F53,'Розшифровка 2 до формування'!F106,'Розшифровка 2 до формування'!F158,'Розшифровка 2 до формування'!F177,'Розшифровка 2 до формування'!F247,)</f>
        <v>-220.5</v>
      </c>
      <c r="G30" s="129">
        <f t="shared" si="1"/>
        <v>-10.199999999999989</v>
      </c>
      <c r="H30" s="129">
        <f t="shared" si="2"/>
        <v>104.85021398002851</v>
      </c>
    </row>
    <row r="31" spans="1:8" ht="47.25" customHeight="1">
      <c r="A31" s="125" t="s">
        <v>1</v>
      </c>
      <c r="B31" s="198">
        <v>1100</v>
      </c>
      <c r="C31" s="97">
        <f>SUM(C15,C16,C22,C25)</f>
        <v>12549.100000000008</v>
      </c>
      <c r="D31" s="97">
        <f>SUM(D15,D16,D22,D25)</f>
        <v>7135.099999999994</v>
      </c>
      <c r="E31" s="97">
        <f>SUM(E15,E16,E22,E25)</f>
        <v>-3910.5000000000118</v>
      </c>
      <c r="F31" s="97">
        <f t="shared" si="0"/>
        <v>7135.099999999994</v>
      </c>
      <c r="G31" s="97">
        <f t="shared" si="1"/>
        <v>11045.600000000006</v>
      </c>
      <c r="H31" s="97">
        <f t="shared" si="2"/>
        <v>-182.46004347270099</v>
      </c>
    </row>
    <row r="32" spans="1:8" ht="27.75" customHeight="1">
      <c r="A32" s="125" t="s">
        <v>122</v>
      </c>
      <c r="B32" s="126">
        <v>1130</v>
      </c>
      <c r="C32" s="97">
        <f>'Розшифровка 1 до Формування'!D17</f>
        <v>276.5</v>
      </c>
      <c r="D32" s="97">
        <f>'Розшифровка 1 до Формування'!F17</f>
        <v>1413.9</v>
      </c>
      <c r="E32" s="97">
        <f>'Розшифровка 1 до Формування'!E17</f>
        <v>523.5</v>
      </c>
      <c r="F32" s="97">
        <f t="shared" si="0"/>
        <v>1413.9</v>
      </c>
      <c r="G32" s="97">
        <f t="shared" si="1"/>
        <v>890.40000000000009</v>
      </c>
      <c r="H32" s="97">
        <f t="shared" si="2"/>
        <v>270.08595988538684</v>
      </c>
    </row>
    <row r="33" spans="1:11" ht="27.75" customHeight="1">
      <c r="A33" s="131" t="s">
        <v>123</v>
      </c>
      <c r="B33" s="126">
        <v>1140</v>
      </c>
      <c r="C33" s="97" t="s">
        <v>26</v>
      </c>
      <c r="D33" s="97" t="s">
        <v>26</v>
      </c>
      <c r="E33" s="129" t="s">
        <v>26</v>
      </c>
      <c r="F33" s="97" t="str">
        <f t="shared" si="0"/>
        <v>(    )</v>
      </c>
      <c r="G33" s="132" t="e">
        <f t="shared" si="1"/>
        <v>#VALUE!</v>
      </c>
      <c r="H33" s="132" t="e">
        <f t="shared" si="2"/>
        <v>#VALUE!</v>
      </c>
    </row>
    <row r="34" spans="1:11" ht="27.75" customHeight="1">
      <c r="A34" s="125" t="s">
        <v>124</v>
      </c>
      <c r="B34" s="126">
        <v>1150</v>
      </c>
      <c r="C34" s="97">
        <f>'Розшифровка 1 до Формування'!D19</f>
        <v>4502.8999999999996</v>
      </c>
      <c r="D34" s="97">
        <f>'Розшифровка 1 до Формування'!F19</f>
        <v>6057.6</v>
      </c>
      <c r="E34" s="97">
        <f>'Розшифровка 1 до Формування'!E19</f>
        <v>3387</v>
      </c>
      <c r="F34" s="97">
        <f t="shared" si="0"/>
        <v>6057.6</v>
      </c>
      <c r="G34" s="97">
        <f t="shared" si="1"/>
        <v>2670.6000000000004</v>
      </c>
      <c r="H34" s="97">
        <f t="shared" si="2"/>
        <v>178.84853852967228</v>
      </c>
    </row>
    <row r="35" spans="1:11" ht="27.75" customHeight="1">
      <c r="A35" s="125" t="s">
        <v>125</v>
      </c>
      <c r="B35" s="126">
        <v>1160</v>
      </c>
      <c r="C35" s="97" t="s">
        <v>26</v>
      </c>
      <c r="D35" s="97" t="s">
        <v>26</v>
      </c>
      <c r="E35" s="129" t="s">
        <v>26</v>
      </c>
      <c r="F35" s="97" t="str">
        <f t="shared" si="0"/>
        <v>(    )</v>
      </c>
      <c r="G35" s="132" t="e">
        <f t="shared" si="1"/>
        <v>#VALUE!</v>
      </c>
      <c r="H35" s="132" t="e">
        <f t="shared" si="2"/>
        <v>#VALUE!</v>
      </c>
    </row>
    <row r="36" spans="1:11" ht="28.5" customHeight="1">
      <c r="A36" s="125" t="s">
        <v>15</v>
      </c>
      <c r="B36" s="126">
        <v>1170</v>
      </c>
      <c r="C36" s="97">
        <f>SUM(C31, C32:C35)</f>
        <v>17328.500000000007</v>
      </c>
      <c r="D36" s="97">
        <f>SUM(D31, D32:D35)</f>
        <v>14606.599999999995</v>
      </c>
      <c r="E36" s="97">
        <f>SUM(E31, E32:E35)</f>
        <v>-1.1823431123048067E-11</v>
      </c>
      <c r="F36" s="97">
        <f t="shared" si="0"/>
        <v>14606.599999999995</v>
      </c>
      <c r="G36" s="97">
        <f t="shared" si="1"/>
        <v>14606.600000000006</v>
      </c>
      <c r="H36" s="132">
        <f t="shared" si="2"/>
        <v>-1.235394349405609E+17</v>
      </c>
    </row>
    <row r="37" spans="1:11" ht="27.75" customHeight="1">
      <c r="A37" s="131" t="s">
        <v>28</v>
      </c>
      <c r="B37" s="198">
        <v>1180</v>
      </c>
      <c r="C37" s="129" t="s">
        <v>26</v>
      </c>
      <c r="D37" s="129" t="s">
        <v>26</v>
      </c>
      <c r="E37" s="129" t="s">
        <v>26</v>
      </c>
      <c r="F37" s="97" t="str">
        <f t="shared" si="0"/>
        <v>(    )</v>
      </c>
      <c r="G37" s="130" t="e">
        <f t="shared" si="1"/>
        <v>#VALUE!</v>
      </c>
      <c r="H37" s="130" t="e">
        <f t="shared" si="2"/>
        <v>#VALUE!</v>
      </c>
    </row>
    <row r="38" spans="1:11" ht="27" customHeight="1">
      <c r="A38" s="131" t="s">
        <v>29</v>
      </c>
      <c r="B38" s="198">
        <v>1181</v>
      </c>
      <c r="C38" s="129"/>
      <c r="D38" s="129"/>
      <c r="E38" s="129"/>
      <c r="F38" s="97">
        <f>D38</f>
        <v>0</v>
      </c>
      <c r="G38" s="132">
        <f t="shared" si="1"/>
        <v>0</v>
      </c>
      <c r="H38" s="130" t="e">
        <f t="shared" si="2"/>
        <v>#DIV/0!</v>
      </c>
    </row>
    <row r="39" spans="1:11" ht="28.5" customHeight="1">
      <c r="A39" s="125" t="s">
        <v>46</v>
      </c>
      <c r="B39" s="198">
        <v>1200</v>
      </c>
      <c r="C39" s="97">
        <f>SUM(C36:C38)</f>
        <v>17328.500000000007</v>
      </c>
      <c r="D39" s="97">
        <f>SUM(D36:D38)</f>
        <v>14606.599999999995</v>
      </c>
      <c r="E39" s="97">
        <f>SUM(E36:E38)</f>
        <v>-1.1823431123048067E-11</v>
      </c>
      <c r="F39" s="97">
        <f t="shared" si="0"/>
        <v>14606.599999999995</v>
      </c>
      <c r="G39" s="97">
        <f t="shared" si="1"/>
        <v>14606.600000000006</v>
      </c>
      <c r="H39" s="132">
        <f t="shared" si="2"/>
        <v>-1.235394349405609E+17</v>
      </c>
    </row>
    <row r="40" spans="1:11" ht="35.25" customHeight="1">
      <c r="A40" s="131" t="s">
        <v>47</v>
      </c>
      <c r="B40" s="198">
        <v>1201</v>
      </c>
      <c r="C40" s="129">
        <v>17328.5</v>
      </c>
      <c r="D40" s="129">
        <v>14606.6</v>
      </c>
      <c r="E40" s="129"/>
      <c r="F40" s="97">
        <f t="shared" si="0"/>
        <v>14606.6</v>
      </c>
      <c r="G40" s="130">
        <f t="shared" si="1"/>
        <v>14606.6</v>
      </c>
      <c r="H40" s="130" t="e">
        <f t="shared" si="2"/>
        <v>#DIV/0!</v>
      </c>
    </row>
    <row r="41" spans="1:11" ht="33" customHeight="1">
      <c r="A41" s="131" t="s">
        <v>48</v>
      </c>
      <c r="B41" s="198">
        <v>1202</v>
      </c>
      <c r="C41" s="129"/>
      <c r="D41" s="129" t="s">
        <v>26</v>
      </c>
      <c r="E41" s="129" t="s">
        <v>26</v>
      </c>
      <c r="F41" s="97" t="str">
        <f>D41</f>
        <v>(    )</v>
      </c>
      <c r="G41" s="130" t="e">
        <f t="shared" si="1"/>
        <v>#VALUE!</v>
      </c>
      <c r="H41" s="130" t="e">
        <f t="shared" si="2"/>
        <v>#VALUE!</v>
      </c>
      <c r="J41" s="133"/>
    </row>
    <row r="42" spans="1:11" ht="33" customHeight="1">
      <c r="A42" s="125" t="s">
        <v>115</v>
      </c>
      <c r="B42" s="126">
        <v>1210</v>
      </c>
      <c r="C42" s="97">
        <f>SUM(C8,C22,C32,C34,C38)</f>
        <v>116442.1</v>
      </c>
      <c r="D42" s="97">
        <f>SUM(D8,D22,D32,D34,D38)</f>
        <v>143772.20000000001</v>
      </c>
      <c r="E42" s="97">
        <f>SUM(E8,E22,E32,E34,E38)</f>
        <v>118352.9</v>
      </c>
      <c r="F42" s="97">
        <f t="shared" si="0"/>
        <v>143772.20000000001</v>
      </c>
      <c r="G42" s="97">
        <f t="shared" si="1"/>
        <v>25419.300000000017</v>
      </c>
      <c r="H42" s="97">
        <f t="shared" si="2"/>
        <v>121.47754723373912</v>
      </c>
      <c r="J42" s="133"/>
      <c r="K42" s="133"/>
    </row>
    <row r="43" spans="1:11" ht="33" customHeight="1">
      <c r="A43" s="125" t="s">
        <v>116</v>
      </c>
      <c r="B43" s="126">
        <v>1220</v>
      </c>
      <c r="C43" s="97">
        <f>SUM(C9,C16,C25,C33,C35,C37)</f>
        <v>-99113.600000000006</v>
      </c>
      <c r="D43" s="97">
        <f>SUM(D9,D16,D25,D33,D35,D37)</f>
        <v>-129165.6</v>
      </c>
      <c r="E43" s="97">
        <f>SUM(E9,E16,E25,E33,E35,E37)</f>
        <v>-118352.90000000001</v>
      </c>
      <c r="F43" s="97">
        <f t="shared" si="0"/>
        <v>-129165.6</v>
      </c>
      <c r="G43" s="97">
        <f t="shared" si="1"/>
        <v>-10812.699999999997</v>
      </c>
      <c r="H43" s="97">
        <f t="shared" si="2"/>
        <v>109.13598230377117</v>
      </c>
      <c r="J43" s="133"/>
    </row>
    <row r="44" spans="1:11" ht="33" customHeight="1">
      <c r="A44" s="235" t="s">
        <v>130</v>
      </c>
      <c r="B44" s="235"/>
      <c r="C44" s="235"/>
      <c r="D44" s="235"/>
      <c r="E44" s="235"/>
      <c r="F44" s="235"/>
      <c r="G44" s="235"/>
      <c r="H44" s="235"/>
      <c r="J44" s="133"/>
      <c r="K44" s="133"/>
    </row>
    <row r="45" spans="1:11" ht="33" customHeight="1">
      <c r="A45" s="128" t="s">
        <v>56</v>
      </c>
      <c r="B45" s="199">
        <v>9000</v>
      </c>
      <c r="C45" s="129">
        <f>-(C10+C17)</f>
        <v>20632.300000000003</v>
      </c>
      <c r="D45" s="129">
        <f t="shared" ref="D45:F45" si="8">-(D10+D17)</f>
        <v>23700.199999999997</v>
      </c>
      <c r="E45" s="129">
        <f t="shared" si="8"/>
        <v>18830.8</v>
      </c>
      <c r="F45" s="129">
        <f t="shared" si="8"/>
        <v>23700.199999999997</v>
      </c>
      <c r="G45" s="129">
        <f t="shared" ref="G45:G50" si="9">F45-E45</f>
        <v>4869.3999999999978</v>
      </c>
      <c r="H45" s="129">
        <f t="shared" ref="H45:H50" si="10">(F45/E45)*100</f>
        <v>125.85869957728826</v>
      </c>
    </row>
    <row r="46" spans="1:11" ht="33" customHeight="1">
      <c r="A46" s="128" t="s">
        <v>2</v>
      </c>
      <c r="B46" s="199">
        <v>9010</v>
      </c>
      <c r="C46" s="129">
        <f>-(C11+C18+C27)</f>
        <v>54062.899999999994</v>
      </c>
      <c r="D46" s="129">
        <f t="shared" ref="D46:F46" si="11">-(D11+D18+D27)</f>
        <v>72288.899999999994</v>
      </c>
      <c r="E46" s="129">
        <f t="shared" si="11"/>
        <v>68733.5</v>
      </c>
      <c r="F46" s="129">
        <f t="shared" si="11"/>
        <v>72288.899999999994</v>
      </c>
      <c r="G46" s="129">
        <f t="shared" si="9"/>
        <v>3555.3999999999942</v>
      </c>
      <c r="H46" s="129">
        <f t="shared" si="10"/>
        <v>105.17273236485846</v>
      </c>
      <c r="I46" s="127">
        <f>F46-E46</f>
        <v>3555.3999999999942</v>
      </c>
    </row>
    <row r="47" spans="1:11" ht="33" customHeight="1">
      <c r="A47" s="128" t="s">
        <v>3</v>
      </c>
      <c r="B47" s="199">
        <v>9020</v>
      </c>
      <c r="C47" s="129">
        <f>-(C12+C19+C28)</f>
        <v>11517.8</v>
      </c>
      <c r="D47" s="129">
        <f t="shared" ref="D47:F47" si="12">-(D12+D19+D28)</f>
        <v>15274.7</v>
      </c>
      <c r="E47" s="129">
        <f t="shared" si="12"/>
        <v>14984.4</v>
      </c>
      <c r="F47" s="129">
        <f t="shared" si="12"/>
        <v>15274.7</v>
      </c>
      <c r="G47" s="129">
        <f t="shared" si="9"/>
        <v>290.30000000000109</v>
      </c>
      <c r="H47" s="129">
        <f t="shared" si="10"/>
        <v>101.9373481754358</v>
      </c>
    </row>
    <row r="48" spans="1:11" ht="33" customHeight="1">
      <c r="A48" s="128" t="s">
        <v>4</v>
      </c>
      <c r="B48" s="199">
        <v>9030</v>
      </c>
      <c r="C48" s="129">
        <f>-(C13+C20)</f>
        <v>4758.8</v>
      </c>
      <c r="D48" s="129">
        <f t="shared" ref="D48:F48" si="13">-(D13+D20)</f>
        <v>6456.2000000000007</v>
      </c>
      <c r="E48" s="129">
        <f t="shared" si="13"/>
        <v>3387</v>
      </c>
      <c r="F48" s="129">
        <f t="shared" si="13"/>
        <v>6456.2000000000007</v>
      </c>
      <c r="G48" s="129">
        <f t="shared" si="9"/>
        <v>3069.2000000000007</v>
      </c>
      <c r="H48" s="129">
        <f t="shared" si="10"/>
        <v>190.61706524948335</v>
      </c>
    </row>
    <row r="49" spans="1:8" ht="33" customHeight="1">
      <c r="A49" s="128" t="s">
        <v>6</v>
      </c>
      <c r="B49" s="199">
        <v>9040</v>
      </c>
      <c r="C49" s="129">
        <f>-(C14+C21+C30)</f>
        <v>8141.8</v>
      </c>
      <c r="D49" s="129">
        <f t="shared" ref="D49:F49" si="14">-(D14+D21+D30)</f>
        <v>11445.6</v>
      </c>
      <c r="E49" s="129">
        <f t="shared" si="14"/>
        <v>12417.199999999999</v>
      </c>
      <c r="F49" s="129">
        <f t="shared" si="14"/>
        <v>11445.6</v>
      </c>
      <c r="G49" s="129">
        <f t="shared" si="9"/>
        <v>-971.59999999999854</v>
      </c>
      <c r="H49" s="129">
        <f t="shared" si="10"/>
        <v>92.175369648552021</v>
      </c>
    </row>
    <row r="50" spans="1:8" ht="33" customHeight="1">
      <c r="A50" s="135" t="s">
        <v>9</v>
      </c>
      <c r="B50" s="197">
        <v>9050</v>
      </c>
      <c r="C50" s="97">
        <f>SUM(C45:C49)</f>
        <v>99113.600000000006</v>
      </c>
      <c r="D50" s="97">
        <f>SUM(D45:D49)</f>
        <v>129165.59999999999</v>
      </c>
      <c r="E50" s="97">
        <f>SUM(E45:E49)</f>
        <v>118352.9</v>
      </c>
      <c r="F50" s="97">
        <f>SUM(F45:F49)</f>
        <v>129165.59999999999</v>
      </c>
      <c r="G50" s="136">
        <f t="shared" si="9"/>
        <v>10812.699999999997</v>
      </c>
      <c r="H50" s="136">
        <f t="shared" si="10"/>
        <v>109.13598230377117</v>
      </c>
    </row>
    <row r="51" spans="1:8" ht="33" customHeight="1">
      <c r="A51" s="230" t="s">
        <v>99</v>
      </c>
      <c r="B51" s="230"/>
      <c r="C51" s="230"/>
      <c r="D51" s="230"/>
      <c r="E51" s="230"/>
      <c r="F51" s="230"/>
      <c r="G51" s="230"/>
      <c r="H51" s="230"/>
    </row>
    <row r="52" spans="1:8" ht="69" customHeight="1">
      <c r="A52" s="137" t="s">
        <v>134</v>
      </c>
      <c r="B52" s="126">
        <v>2110</v>
      </c>
      <c r="C52" s="97">
        <f>SUM(C53:C56)</f>
        <v>-927.6434999999999</v>
      </c>
      <c r="D52" s="97">
        <f>SUM(D53:D56)</f>
        <v>-1193.7335</v>
      </c>
      <c r="E52" s="97">
        <f>SUM(E53:E56)</f>
        <v>-1146.8999999999999</v>
      </c>
      <c r="F52" s="97">
        <f>SUM(F53:F56)</f>
        <v>-1193.7335</v>
      </c>
      <c r="G52" s="97">
        <f t="shared" ref="G52:G68" si="15">F52-E52</f>
        <v>-46.833500000000186</v>
      </c>
      <c r="H52" s="97">
        <f>(F52/E52)*100</f>
        <v>104.08348591856308</v>
      </c>
    </row>
    <row r="53" spans="1:8" ht="44.25" customHeight="1">
      <c r="A53" s="128" t="s">
        <v>53</v>
      </c>
      <c r="B53" s="198">
        <v>2111</v>
      </c>
      <c r="C53" s="129">
        <v>-116.7</v>
      </c>
      <c r="D53" s="129">
        <v>-109.4</v>
      </c>
      <c r="E53" s="129">
        <v>-115.8</v>
      </c>
      <c r="F53" s="129">
        <f>D53</f>
        <v>-109.4</v>
      </c>
      <c r="G53" s="129">
        <f t="shared" si="15"/>
        <v>6.3999999999999915</v>
      </c>
      <c r="H53" s="129">
        <f t="shared" ref="H53:H68" si="16">(F53/E53)*100</f>
        <v>94.473229706390342</v>
      </c>
    </row>
    <row r="54" spans="1:8" ht="48.75" customHeight="1">
      <c r="A54" s="138" t="s">
        <v>54</v>
      </c>
      <c r="B54" s="198">
        <v>2112</v>
      </c>
      <c r="C54" s="129" t="s">
        <v>26</v>
      </c>
      <c r="D54" s="129" t="s">
        <v>26</v>
      </c>
      <c r="E54" s="129"/>
      <c r="F54" s="129" t="s">
        <v>26</v>
      </c>
      <c r="G54" s="130" t="e">
        <f t="shared" si="15"/>
        <v>#VALUE!</v>
      </c>
      <c r="H54" s="130" t="e">
        <f t="shared" si="16"/>
        <v>#VALUE!</v>
      </c>
    </row>
    <row r="55" spans="1:8" ht="28.5" customHeight="1">
      <c r="A55" s="128" t="s">
        <v>61</v>
      </c>
      <c r="B55" s="198">
        <v>2113</v>
      </c>
      <c r="C55" s="129">
        <f>-C46*1.5/100</f>
        <v>-810.94349999999986</v>
      </c>
      <c r="D55" s="129">
        <f>-D46*1.5/100</f>
        <v>-1084.3335</v>
      </c>
      <c r="E55" s="129">
        <v>-1031.0999999999999</v>
      </c>
      <c r="F55" s="129">
        <f>D55</f>
        <v>-1084.3335</v>
      </c>
      <c r="G55" s="129">
        <f t="shared" si="15"/>
        <v>-53.233500000000049</v>
      </c>
      <c r="H55" s="129">
        <f t="shared" si="16"/>
        <v>105.1627873145185</v>
      </c>
    </row>
    <row r="56" spans="1:8" ht="33" customHeight="1">
      <c r="A56" s="128" t="s">
        <v>40</v>
      </c>
      <c r="B56" s="198">
        <v>2114</v>
      </c>
      <c r="C56" s="129" t="s">
        <v>26</v>
      </c>
      <c r="D56" s="129" t="s">
        <v>26</v>
      </c>
      <c r="E56" s="129" t="s">
        <v>26</v>
      </c>
      <c r="F56" s="129" t="s">
        <v>26</v>
      </c>
      <c r="G56" s="130" t="e">
        <f t="shared" si="15"/>
        <v>#VALUE!</v>
      </c>
      <c r="H56" s="130" t="e">
        <f t="shared" si="16"/>
        <v>#VALUE!</v>
      </c>
    </row>
    <row r="57" spans="1:8" ht="43.5" customHeight="1">
      <c r="A57" s="139" t="s">
        <v>58</v>
      </c>
      <c r="B57" s="197">
        <v>2120</v>
      </c>
      <c r="C57" s="97">
        <f>SUM(C58:C63)</f>
        <v>-9731.9220000000005</v>
      </c>
      <c r="D57" s="97">
        <f>SUM(D58:D63)</f>
        <v>-13013.102000000001</v>
      </c>
      <c r="E57" s="97">
        <f>SUM(E58:E63)</f>
        <v>-12372</v>
      </c>
      <c r="F57" s="97">
        <f>SUM(F58:F63)</f>
        <v>-13013.102000000001</v>
      </c>
      <c r="G57" s="97">
        <f t="shared" si="15"/>
        <v>-641.10200000000077</v>
      </c>
      <c r="H57" s="97">
        <f t="shared" si="16"/>
        <v>105.18187843517622</v>
      </c>
    </row>
    <row r="58" spans="1:8" ht="36" customHeight="1">
      <c r="A58" s="138" t="s">
        <v>38</v>
      </c>
      <c r="B58" s="199">
        <v>2121</v>
      </c>
      <c r="C58" s="129" t="s">
        <v>26</v>
      </c>
      <c r="D58" s="129" t="s">
        <v>26</v>
      </c>
      <c r="E58" s="129" t="s">
        <v>26</v>
      </c>
      <c r="F58" s="129" t="s">
        <v>26</v>
      </c>
      <c r="G58" s="130" t="e">
        <f t="shared" si="15"/>
        <v>#VALUE!</v>
      </c>
      <c r="H58" s="130" t="e">
        <f t="shared" si="16"/>
        <v>#VALUE!</v>
      </c>
    </row>
    <row r="59" spans="1:8" ht="33.75" customHeight="1">
      <c r="A59" s="128" t="s">
        <v>14</v>
      </c>
      <c r="B59" s="199">
        <v>2122</v>
      </c>
      <c r="C59" s="129">
        <f>-C46*18/100</f>
        <v>-9731.3220000000001</v>
      </c>
      <c r="D59" s="129">
        <f>-D46*18/100</f>
        <v>-13012.002</v>
      </c>
      <c r="E59" s="129">
        <v>-12372</v>
      </c>
      <c r="F59" s="129">
        <f>D59</f>
        <v>-13012.002</v>
      </c>
      <c r="G59" s="129">
        <f t="shared" si="15"/>
        <v>-640.00200000000041</v>
      </c>
      <c r="H59" s="129">
        <f>(F59/E59)*100</f>
        <v>105.17298739088264</v>
      </c>
    </row>
    <row r="60" spans="1:8" ht="31.5" customHeight="1">
      <c r="A60" s="128" t="s">
        <v>44</v>
      </c>
      <c r="B60" s="199">
        <v>2123</v>
      </c>
      <c r="C60" s="129">
        <v>-0.6</v>
      </c>
      <c r="D60" s="129">
        <v>-1.1000000000000001</v>
      </c>
      <c r="E60" s="129"/>
      <c r="F60" s="129">
        <f>D60</f>
        <v>-1.1000000000000001</v>
      </c>
      <c r="G60" s="130">
        <f t="shared" si="15"/>
        <v>-1.1000000000000001</v>
      </c>
      <c r="H60" s="130" t="e">
        <f t="shared" si="16"/>
        <v>#DIV/0!</v>
      </c>
    </row>
    <row r="61" spans="1:8" ht="31.5" customHeight="1">
      <c r="A61" s="128" t="s">
        <v>45</v>
      </c>
      <c r="B61" s="199">
        <v>2124</v>
      </c>
      <c r="C61" s="129" t="s">
        <v>26</v>
      </c>
      <c r="D61" s="129" t="s">
        <v>26</v>
      </c>
      <c r="E61" s="129" t="s">
        <v>26</v>
      </c>
      <c r="F61" s="129" t="s">
        <v>26</v>
      </c>
      <c r="G61" s="130" t="e">
        <f t="shared" si="15"/>
        <v>#VALUE!</v>
      </c>
      <c r="H61" s="130" t="e">
        <f t="shared" si="16"/>
        <v>#VALUE!</v>
      </c>
    </row>
    <row r="62" spans="1:8" ht="103.5" customHeight="1">
      <c r="A62" s="128" t="s">
        <v>233</v>
      </c>
      <c r="B62" s="199">
        <v>2125</v>
      </c>
      <c r="C62" s="129" t="s">
        <v>26</v>
      </c>
      <c r="D62" s="129" t="s">
        <v>26</v>
      </c>
      <c r="E62" s="129" t="s">
        <v>26</v>
      </c>
      <c r="F62" s="129" t="s">
        <v>26</v>
      </c>
      <c r="G62" s="130" t="e">
        <f t="shared" si="15"/>
        <v>#VALUE!</v>
      </c>
      <c r="H62" s="130" t="e">
        <f t="shared" si="16"/>
        <v>#VALUE!</v>
      </c>
    </row>
    <row r="63" spans="1:8" ht="31.5" customHeight="1">
      <c r="A63" s="128" t="s">
        <v>40</v>
      </c>
      <c r="B63" s="199">
        <v>2126</v>
      </c>
      <c r="C63" s="129" t="s">
        <v>26</v>
      </c>
      <c r="D63" s="129" t="s">
        <v>26</v>
      </c>
      <c r="E63" s="129" t="s">
        <v>26</v>
      </c>
      <c r="F63" s="129" t="s">
        <v>26</v>
      </c>
      <c r="G63" s="130" t="e">
        <f t="shared" si="15"/>
        <v>#VALUE!</v>
      </c>
      <c r="H63" s="130" t="e">
        <f t="shared" si="16"/>
        <v>#VALUE!</v>
      </c>
    </row>
    <row r="64" spans="1:8" ht="48" customHeight="1">
      <c r="A64" s="137" t="s">
        <v>59</v>
      </c>
      <c r="B64" s="197">
        <v>2130</v>
      </c>
      <c r="C64" s="97">
        <f>SUM(C65:C67)</f>
        <v>-11700.199999999999</v>
      </c>
      <c r="D64" s="97">
        <f>SUM(D65:D67)</f>
        <v>-15470</v>
      </c>
      <c r="E64" s="97">
        <f>SUM(E65:E67)</f>
        <v>-15170.699999999999</v>
      </c>
      <c r="F64" s="97">
        <f>SUM(F65:F67)</f>
        <v>-15470</v>
      </c>
      <c r="G64" s="97">
        <f t="shared" si="15"/>
        <v>-299.30000000000109</v>
      </c>
      <c r="H64" s="97">
        <f t="shared" si="16"/>
        <v>101.97288193689151</v>
      </c>
    </row>
    <row r="65" spans="1:9" ht="33" customHeight="1">
      <c r="A65" s="128" t="s">
        <v>41</v>
      </c>
      <c r="B65" s="199">
        <v>2131</v>
      </c>
      <c r="C65" s="129" t="s">
        <v>26</v>
      </c>
      <c r="D65" s="129" t="s">
        <v>26</v>
      </c>
      <c r="E65" s="129" t="s">
        <v>26</v>
      </c>
      <c r="F65" s="129" t="s">
        <v>26</v>
      </c>
      <c r="G65" s="130" t="e">
        <f t="shared" si="15"/>
        <v>#VALUE!</v>
      </c>
      <c r="H65" s="130" t="e">
        <f t="shared" si="16"/>
        <v>#VALUE!</v>
      </c>
    </row>
    <row r="66" spans="1:9" ht="44.25" customHeight="1">
      <c r="A66" s="128" t="s">
        <v>42</v>
      </c>
      <c r="B66" s="199">
        <v>2132</v>
      </c>
      <c r="C66" s="129">
        <f>-C47</f>
        <v>-11517.8</v>
      </c>
      <c r="D66" s="129">
        <f t="shared" ref="D66:F66" si="17">-D47</f>
        <v>-15274.7</v>
      </c>
      <c r="E66" s="129">
        <f t="shared" si="17"/>
        <v>-14984.4</v>
      </c>
      <c r="F66" s="129">
        <f t="shared" si="17"/>
        <v>-15274.7</v>
      </c>
      <c r="G66" s="129">
        <f>F66-E66</f>
        <v>-290.30000000000109</v>
      </c>
      <c r="H66" s="129">
        <f t="shared" si="16"/>
        <v>101.9373481754358</v>
      </c>
    </row>
    <row r="67" spans="1:9" ht="35.25" customHeight="1">
      <c r="A67" s="128" t="s">
        <v>43</v>
      </c>
      <c r="B67" s="199">
        <v>2133</v>
      </c>
      <c r="C67" s="129">
        <v>-182.4</v>
      </c>
      <c r="D67" s="129">
        <v>-195.3</v>
      </c>
      <c r="E67" s="129">
        <v>-186.3</v>
      </c>
      <c r="F67" s="129">
        <f>D67</f>
        <v>-195.3</v>
      </c>
      <c r="G67" s="129">
        <f t="shared" si="15"/>
        <v>-9</v>
      </c>
      <c r="H67" s="129">
        <f t="shared" si="16"/>
        <v>104.83091787439614</v>
      </c>
      <c r="I67" s="127" t="s">
        <v>343</v>
      </c>
    </row>
    <row r="68" spans="1:9" ht="30.75" customHeight="1">
      <c r="A68" s="139" t="s">
        <v>55</v>
      </c>
      <c r="B68" s="197">
        <v>2200</v>
      </c>
      <c r="C68" s="97">
        <f>SUM(C52+C57+C64)</f>
        <v>-22359.765500000001</v>
      </c>
      <c r="D68" s="97">
        <f>SUM(D52+D57+D64)</f>
        <v>-29676.835500000001</v>
      </c>
      <c r="E68" s="97">
        <f>SUM(E52+E57+E64)</f>
        <v>-28689.599999999999</v>
      </c>
      <c r="F68" s="97">
        <f>SUM(F52+F57+F64)</f>
        <v>-29676.835500000001</v>
      </c>
      <c r="G68" s="97">
        <f t="shared" si="15"/>
        <v>-987.2355000000025</v>
      </c>
      <c r="H68" s="97">
        <f t="shared" si="16"/>
        <v>103.44109189392671</v>
      </c>
    </row>
    <row r="69" spans="1:9" ht="33" customHeight="1">
      <c r="A69" s="231" t="s">
        <v>100</v>
      </c>
      <c r="B69" s="231"/>
      <c r="C69" s="231"/>
      <c r="D69" s="231"/>
      <c r="E69" s="231"/>
      <c r="F69" s="231"/>
      <c r="G69" s="231"/>
      <c r="H69" s="231"/>
    </row>
    <row r="70" spans="1:9" ht="27.75" customHeight="1">
      <c r="A70" s="125" t="s">
        <v>19</v>
      </c>
      <c r="B70" s="126">
        <v>4000</v>
      </c>
      <c r="C70" s="97">
        <f>SUM(C71:C77)</f>
        <v>-10186.399999999998</v>
      </c>
      <c r="D70" s="97">
        <f>SUM(D71:D77)</f>
        <v>-24676.899999999998</v>
      </c>
      <c r="E70" s="97">
        <f>SUM(E71:E77)</f>
        <v>-4499.2</v>
      </c>
      <c r="F70" s="97">
        <f>SUM(F71:F77)</f>
        <v>-24676.899999999998</v>
      </c>
      <c r="G70" s="97">
        <f>F70-E70</f>
        <v>-20177.699999999997</v>
      </c>
      <c r="H70" s="97">
        <f>(F70/E70)*100</f>
        <v>548.47306187766719</v>
      </c>
    </row>
    <row r="71" spans="1:9" ht="37.5" customHeight="1">
      <c r="A71" s="128" t="s">
        <v>62</v>
      </c>
      <c r="B71" s="198">
        <v>4010</v>
      </c>
      <c r="C71" s="129" t="s">
        <v>26</v>
      </c>
      <c r="D71" s="129" t="s">
        <v>26</v>
      </c>
      <c r="E71" s="129" t="s">
        <v>26</v>
      </c>
      <c r="F71" s="129" t="s">
        <v>26</v>
      </c>
      <c r="G71" s="130" t="e">
        <f t="shared" ref="G71:G77" si="18">F71-E71</f>
        <v>#VALUE!</v>
      </c>
      <c r="H71" s="130" t="e">
        <f t="shared" ref="H71:H77" si="19">(F71/E71)*100</f>
        <v>#VALUE!</v>
      </c>
    </row>
    <row r="72" spans="1:9" ht="48.75" customHeight="1">
      <c r="A72" s="128" t="s">
        <v>126</v>
      </c>
      <c r="B72" s="198">
        <v>4020</v>
      </c>
      <c r="C72" s="129">
        <f>-'Розшифровка кап'!C6</f>
        <v>-8250.7999999999993</v>
      </c>
      <c r="D72" s="129">
        <f>F72</f>
        <v>-8133.7999999999975</v>
      </c>
      <c r="E72" s="129">
        <f>-'Розшифровка кап'!D6</f>
        <v>-1910</v>
      </c>
      <c r="F72" s="129">
        <f>-'Розшифровка кап'!E6</f>
        <v>-8133.7999999999975</v>
      </c>
      <c r="G72" s="129">
        <f t="shared" si="18"/>
        <v>-6223.7999999999975</v>
      </c>
      <c r="H72" s="130">
        <f t="shared" si="19"/>
        <v>425.85340314136113</v>
      </c>
    </row>
    <row r="73" spans="1:9" ht="48.75" customHeight="1">
      <c r="A73" s="128" t="s">
        <v>71</v>
      </c>
      <c r="B73" s="198">
        <v>4030</v>
      </c>
      <c r="C73" s="129">
        <f>-'Розшифровка кап'!C57</f>
        <v>-532.30000000000007</v>
      </c>
      <c r="D73" s="129">
        <v>-1368.6</v>
      </c>
      <c r="E73" s="129" t="s">
        <v>26</v>
      </c>
      <c r="F73" s="129">
        <f>-'Розшифровка кап'!E57</f>
        <v>-1368.6</v>
      </c>
      <c r="G73" s="130" t="e">
        <f t="shared" si="18"/>
        <v>#VALUE!</v>
      </c>
      <c r="H73" s="130" t="e">
        <f t="shared" si="19"/>
        <v>#VALUE!</v>
      </c>
    </row>
    <row r="74" spans="1:9" ht="49.5" customHeight="1">
      <c r="A74" s="128" t="s">
        <v>127</v>
      </c>
      <c r="B74" s="198">
        <v>4040</v>
      </c>
      <c r="C74" s="129" t="s">
        <v>26</v>
      </c>
      <c r="D74" s="129" t="s">
        <v>26</v>
      </c>
      <c r="E74" s="129" t="s">
        <v>26</v>
      </c>
      <c r="F74" s="129" t="s">
        <v>26</v>
      </c>
      <c r="G74" s="130" t="s">
        <v>26</v>
      </c>
      <c r="H74" s="130" t="e">
        <f t="shared" si="19"/>
        <v>#VALUE!</v>
      </c>
    </row>
    <row r="75" spans="1:9" ht="73.5" customHeight="1">
      <c r="A75" s="128" t="s">
        <v>63</v>
      </c>
      <c r="B75" s="198">
        <v>4050</v>
      </c>
      <c r="C75" s="129" t="s">
        <v>26</v>
      </c>
      <c r="D75" s="129">
        <v>-2562.8000000000002</v>
      </c>
      <c r="E75" s="129">
        <f>-'Розшифровка кап'!D180</f>
        <v>-2589.1999999999998</v>
      </c>
      <c r="F75" s="129">
        <f>-'Розшифровка кап'!E179</f>
        <v>-2562.8000000000002</v>
      </c>
      <c r="G75" s="130">
        <f t="shared" si="18"/>
        <v>26.399999999999636</v>
      </c>
      <c r="H75" s="130">
        <f t="shared" si="19"/>
        <v>98.980380040166864</v>
      </c>
    </row>
    <row r="76" spans="1:9" ht="36.75" customHeight="1">
      <c r="A76" s="128" t="s">
        <v>64</v>
      </c>
      <c r="B76" s="198">
        <v>4060</v>
      </c>
      <c r="C76" s="129">
        <f>-'Розшифровка кап'!C182</f>
        <v>-1403.3</v>
      </c>
      <c r="D76" s="129">
        <v>-12611.7</v>
      </c>
      <c r="E76" s="129"/>
      <c r="F76" s="129">
        <f>-'Розшифровка кап'!E182</f>
        <v>-12611.7</v>
      </c>
      <c r="G76" s="129">
        <f t="shared" si="18"/>
        <v>-12611.7</v>
      </c>
      <c r="H76" s="130" t="e">
        <f t="shared" si="19"/>
        <v>#DIV/0!</v>
      </c>
    </row>
    <row r="77" spans="1:9" ht="39.75" customHeight="1">
      <c r="A77" s="128" t="s">
        <v>50</v>
      </c>
      <c r="B77" s="198">
        <v>4070</v>
      </c>
      <c r="C77" s="129" t="s">
        <v>26</v>
      </c>
      <c r="D77" s="129" t="s">
        <v>26</v>
      </c>
      <c r="E77" s="129" t="s">
        <v>26</v>
      </c>
      <c r="F77" s="129" t="s">
        <v>26</v>
      </c>
      <c r="G77" s="130" t="e">
        <f t="shared" si="18"/>
        <v>#VALUE!</v>
      </c>
      <c r="H77" s="130" t="e">
        <f t="shared" si="19"/>
        <v>#VALUE!</v>
      </c>
    </row>
    <row r="78" spans="1:9" ht="36.75" customHeight="1">
      <c r="A78" s="230" t="s">
        <v>101</v>
      </c>
      <c r="B78" s="230"/>
      <c r="C78" s="230"/>
      <c r="D78" s="230"/>
      <c r="E78" s="230"/>
      <c r="F78" s="230"/>
      <c r="G78" s="230"/>
      <c r="H78" s="230"/>
    </row>
    <row r="79" spans="1:9" ht="63" customHeight="1">
      <c r="A79" s="202"/>
      <c r="B79" s="202"/>
      <c r="C79" s="232" t="s">
        <v>120</v>
      </c>
      <c r="D79" s="232"/>
      <c r="E79" s="233" t="s">
        <v>364</v>
      </c>
      <c r="F79" s="233"/>
      <c r="G79" s="233"/>
      <c r="H79" s="233"/>
    </row>
    <row r="80" spans="1:9" ht="45" customHeight="1">
      <c r="A80" s="202"/>
      <c r="B80" s="202"/>
      <c r="C80" s="199" t="s">
        <v>370</v>
      </c>
      <c r="D80" s="199" t="s">
        <v>371</v>
      </c>
      <c r="E80" s="124" t="s">
        <v>106</v>
      </c>
      <c r="F80" s="124" t="s">
        <v>107</v>
      </c>
      <c r="G80" s="124" t="s">
        <v>108</v>
      </c>
      <c r="H80" s="124" t="s">
        <v>109</v>
      </c>
    </row>
    <row r="81" spans="1:18" s="200" customFormat="1" ht="86.25" customHeight="1">
      <c r="A81" s="139" t="s">
        <v>128</v>
      </c>
      <c r="B81" s="140" t="s">
        <v>30</v>
      </c>
      <c r="C81" s="141">
        <f>SUM(C82:C84)</f>
        <v>507</v>
      </c>
      <c r="D81" s="141">
        <f>SUM(D82:D84)</f>
        <v>525</v>
      </c>
      <c r="E81" s="141">
        <f>SUM(E82:E84)</f>
        <v>547</v>
      </c>
      <c r="F81" s="141">
        <f>SUM(F82:F84)</f>
        <v>525</v>
      </c>
      <c r="G81" s="142" t="s">
        <v>129</v>
      </c>
      <c r="H81" s="136" t="s">
        <v>129</v>
      </c>
      <c r="I81" s="187"/>
      <c r="J81" s="143"/>
    </row>
    <row r="82" spans="1:18" ht="27.75" customHeight="1">
      <c r="A82" s="131" t="s">
        <v>21</v>
      </c>
      <c r="B82" s="198" t="s">
        <v>31</v>
      </c>
      <c r="C82" s="144">
        <v>1</v>
      </c>
      <c r="D82" s="144">
        <v>1</v>
      </c>
      <c r="E82" s="144">
        <v>1</v>
      </c>
      <c r="F82" s="144">
        <v>1</v>
      </c>
      <c r="G82" s="145" t="s">
        <v>129</v>
      </c>
      <c r="H82" s="134" t="s">
        <v>129</v>
      </c>
      <c r="K82" s="127"/>
      <c r="L82" s="127"/>
    </row>
    <row r="83" spans="1:18" ht="27.75" customHeight="1">
      <c r="A83" s="131" t="s">
        <v>24</v>
      </c>
      <c r="B83" s="198" t="s">
        <v>32</v>
      </c>
      <c r="C83" s="144">
        <v>42</v>
      </c>
      <c r="D83" s="144">
        <v>42</v>
      </c>
      <c r="E83" s="144">
        <v>51</v>
      </c>
      <c r="F83" s="144">
        <v>42</v>
      </c>
      <c r="G83" s="145" t="s">
        <v>129</v>
      </c>
      <c r="H83" s="134" t="s">
        <v>129</v>
      </c>
      <c r="J83" s="127"/>
      <c r="K83" s="127"/>
      <c r="L83" s="146"/>
    </row>
    <row r="84" spans="1:18" ht="27.75" customHeight="1">
      <c r="A84" s="131" t="s">
        <v>22</v>
      </c>
      <c r="B84" s="198" t="s">
        <v>33</v>
      </c>
      <c r="C84" s="144">
        <v>464</v>
      </c>
      <c r="D84" s="144">
        <v>482</v>
      </c>
      <c r="E84" s="144">
        <v>495</v>
      </c>
      <c r="F84" s="144">
        <v>482</v>
      </c>
      <c r="G84" s="145" t="s">
        <v>129</v>
      </c>
      <c r="H84" s="134" t="s">
        <v>129</v>
      </c>
      <c r="J84" s="127"/>
      <c r="K84" s="127"/>
      <c r="L84" s="146"/>
      <c r="M84" s="147"/>
      <c r="N84" s="148"/>
      <c r="O84" s="149"/>
      <c r="P84" s="149"/>
      <c r="Q84" s="149"/>
      <c r="R84" s="149"/>
    </row>
    <row r="85" spans="1:18" ht="27.75" customHeight="1">
      <c r="A85" s="125" t="s">
        <v>72</v>
      </c>
      <c r="B85" s="126" t="s">
        <v>34</v>
      </c>
      <c r="C85" s="150">
        <f>C46</f>
        <v>54062.899999999994</v>
      </c>
      <c r="D85" s="150">
        <f t="shared" ref="D85:F85" si="20">D46</f>
        <v>72288.899999999994</v>
      </c>
      <c r="E85" s="150">
        <f t="shared" si="20"/>
        <v>68733.5</v>
      </c>
      <c r="F85" s="150">
        <f t="shared" si="20"/>
        <v>72288.899999999994</v>
      </c>
      <c r="G85" s="136" t="s">
        <v>129</v>
      </c>
      <c r="H85" s="136" t="s">
        <v>129</v>
      </c>
      <c r="J85" s="127"/>
      <c r="K85" s="127"/>
      <c r="M85" s="151"/>
      <c r="N85" s="152"/>
      <c r="O85" s="153"/>
      <c r="P85" s="153"/>
      <c r="Q85" s="153"/>
      <c r="R85" s="153"/>
    </row>
    <row r="86" spans="1:18" ht="27.75" customHeight="1">
      <c r="A86" s="131" t="s">
        <v>21</v>
      </c>
      <c r="B86" s="198">
        <v>8011</v>
      </c>
      <c r="C86" s="154">
        <v>446.2</v>
      </c>
      <c r="D86" s="155">
        <v>517.1</v>
      </c>
      <c r="E86" s="156">
        <v>180</v>
      </c>
      <c r="F86" s="155">
        <f>D86</f>
        <v>517.1</v>
      </c>
      <c r="G86" s="134" t="s">
        <v>129</v>
      </c>
      <c r="H86" s="134" t="s">
        <v>129</v>
      </c>
      <c r="J86" s="127"/>
      <c r="K86" s="127"/>
      <c r="M86" s="151"/>
      <c r="N86" s="152"/>
      <c r="O86" s="153"/>
      <c r="P86" s="153"/>
      <c r="Q86" s="153"/>
      <c r="R86" s="153"/>
    </row>
    <row r="87" spans="1:18" ht="27.75" customHeight="1">
      <c r="A87" s="131" t="s">
        <v>24</v>
      </c>
      <c r="B87" s="198">
        <v>8012</v>
      </c>
      <c r="C87" s="154">
        <v>4388.8</v>
      </c>
      <c r="D87" s="155">
        <v>6390.4</v>
      </c>
      <c r="E87" s="156">
        <v>2160.1</v>
      </c>
      <c r="F87" s="155">
        <f>D87</f>
        <v>6390.4</v>
      </c>
      <c r="G87" s="134" t="s">
        <v>129</v>
      </c>
      <c r="H87" s="134" t="s">
        <v>129</v>
      </c>
      <c r="J87" s="127"/>
      <c r="K87" s="127"/>
      <c r="M87" s="151"/>
      <c r="N87" s="152"/>
      <c r="O87" s="153"/>
      <c r="P87" s="153"/>
      <c r="Q87" s="153"/>
      <c r="R87" s="153"/>
    </row>
    <row r="88" spans="1:18" ht="27.75" customHeight="1">
      <c r="A88" s="131" t="s">
        <v>22</v>
      </c>
      <c r="B88" s="198">
        <v>8013</v>
      </c>
      <c r="C88" s="154">
        <v>49227.9</v>
      </c>
      <c r="D88" s="155">
        <v>65381.4</v>
      </c>
      <c r="E88" s="156">
        <v>66393.399999999994</v>
      </c>
      <c r="F88" s="155">
        <f>D88</f>
        <v>65381.4</v>
      </c>
      <c r="G88" s="134" t="s">
        <v>129</v>
      </c>
      <c r="H88" s="134" t="s">
        <v>129</v>
      </c>
      <c r="J88" s="127"/>
      <c r="K88" s="127"/>
      <c r="M88" s="157"/>
      <c r="N88" s="158"/>
      <c r="O88" s="159"/>
      <c r="P88" s="159"/>
      <c r="Q88" s="159"/>
      <c r="R88" s="159"/>
    </row>
    <row r="89" spans="1:18" ht="27.75" customHeight="1">
      <c r="A89" s="125" t="s">
        <v>2</v>
      </c>
      <c r="B89" s="126">
        <v>8020</v>
      </c>
      <c r="C89" s="150">
        <f>C46</f>
        <v>54062.899999999994</v>
      </c>
      <c r="D89" s="150">
        <f>D46</f>
        <v>72288.899999999994</v>
      </c>
      <c r="E89" s="160">
        <f>E46</f>
        <v>68733.5</v>
      </c>
      <c r="F89" s="150">
        <f>F46</f>
        <v>72288.899999999994</v>
      </c>
      <c r="G89" s="136" t="s">
        <v>129</v>
      </c>
      <c r="H89" s="136" t="s">
        <v>129</v>
      </c>
      <c r="J89" s="127"/>
      <c r="K89" s="127"/>
      <c r="M89" s="151"/>
      <c r="N89" s="152"/>
      <c r="O89" s="161"/>
      <c r="P89" s="161"/>
      <c r="Q89" s="161"/>
      <c r="R89" s="161"/>
    </row>
    <row r="90" spans="1:18" ht="27.75" customHeight="1">
      <c r="A90" s="131" t="s">
        <v>21</v>
      </c>
      <c r="B90" s="198">
        <v>8021</v>
      </c>
      <c r="C90" s="154">
        <f t="shared" ref="C90:E92" si="21">C86</f>
        <v>446.2</v>
      </c>
      <c r="D90" s="154">
        <f>D86</f>
        <v>517.1</v>
      </c>
      <c r="E90" s="156">
        <f>E86</f>
        <v>180</v>
      </c>
      <c r="F90" s="155">
        <f>D90</f>
        <v>517.1</v>
      </c>
      <c r="G90" s="134" t="s">
        <v>129</v>
      </c>
      <c r="H90" s="134" t="s">
        <v>129</v>
      </c>
      <c r="J90" s="127"/>
      <c r="K90" s="127"/>
      <c r="M90" s="151"/>
      <c r="N90" s="152"/>
      <c r="O90" s="161"/>
      <c r="P90" s="161"/>
      <c r="Q90" s="161"/>
      <c r="R90" s="161"/>
    </row>
    <row r="91" spans="1:18" ht="27.75" customHeight="1">
      <c r="A91" s="131" t="s">
        <v>24</v>
      </c>
      <c r="B91" s="198">
        <v>8022</v>
      </c>
      <c r="C91" s="154">
        <f t="shared" si="21"/>
        <v>4388.8</v>
      </c>
      <c r="D91" s="154">
        <f>D87</f>
        <v>6390.4</v>
      </c>
      <c r="E91" s="156">
        <f t="shared" si="21"/>
        <v>2160.1</v>
      </c>
      <c r="F91" s="155">
        <f>D91</f>
        <v>6390.4</v>
      </c>
      <c r="G91" s="134" t="s">
        <v>129</v>
      </c>
      <c r="H91" s="134" t="s">
        <v>129</v>
      </c>
      <c r="J91" s="127"/>
      <c r="K91" s="146"/>
      <c r="M91" s="151"/>
      <c r="N91" s="152"/>
      <c r="O91" s="161"/>
      <c r="P91" s="161"/>
      <c r="Q91" s="161"/>
      <c r="R91" s="161"/>
    </row>
    <row r="92" spans="1:18" ht="27.75" customHeight="1">
      <c r="A92" s="131" t="s">
        <v>22</v>
      </c>
      <c r="B92" s="198">
        <v>8023</v>
      </c>
      <c r="C92" s="154">
        <f t="shared" si="21"/>
        <v>49227.9</v>
      </c>
      <c r="D92" s="154">
        <f>D88</f>
        <v>65381.4</v>
      </c>
      <c r="E92" s="156">
        <f t="shared" si="21"/>
        <v>66393.399999999994</v>
      </c>
      <c r="F92" s="155">
        <f>D92</f>
        <v>65381.4</v>
      </c>
      <c r="G92" s="134" t="s">
        <v>129</v>
      </c>
      <c r="H92" s="134" t="s">
        <v>129</v>
      </c>
      <c r="J92" s="127"/>
      <c r="M92" s="157"/>
      <c r="N92" s="158"/>
      <c r="O92" s="159"/>
      <c r="P92" s="159"/>
      <c r="Q92" s="159"/>
      <c r="R92" s="159"/>
    </row>
    <row r="93" spans="1:18" s="200" customFormat="1" ht="66" customHeight="1">
      <c r="A93" s="139" t="s">
        <v>49</v>
      </c>
      <c r="B93" s="140" t="s">
        <v>73</v>
      </c>
      <c r="C93" s="141">
        <f t="shared" ref="C93:D96" si="22">(C89/C81)/9*1000</f>
        <v>11848.104317335086</v>
      </c>
      <c r="D93" s="141">
        <f t="shared" si="22"/>
        <v>15299.238095238094</v>
      </c>
      <c r="E93" s="141">
        <f t="shared" ref="E93:F96" si="23">(E89/E81)/9*1000</f>
        <v>13961.71033922405</v>
      </c>
      <c r="F93" s="141">
        <f t="shared" si="23"/>
        <v>15299.238095238094</v>
      </c>
      <c r="G93" s="142" t="s">
        <v>129</v>
      </c>
      <c r="H93" s="136" t="s">
        <v>129</v>
      </c>
      <c r="I93" s="187"/>
      <c r="M93" s="151"/>
      <c r="N93" s="152"/>
      <c r="O93" s="161"/>
      <c r="P93" s="161"/>
      <c r="Q93" s="161"/>
      <c r="R93" s="161"/>
    </row>
    <row r="94" spans="1:18" ht="27.75" customHeight="1">
      <c r="A94" s="131" t="s">
        <v>21</v>
      </c>
      <c r="B94" s="198">
        <v>8031</v>
      </c>
      <c r="C94" s="144">
        <f t="shared" si="22"/>
        <v>49577.777777777774</v>
      </c>
      <c r="D94" s="144">
        <f t="shared" si="22"/>
        <v>57455.555555555555</v>
      </c>
      <c r="E94" s="144">
        <f t="shared" si="23"/>
        <v>20000</v>
      </c>
      <c r="F94" s="144">
        <f t="shared" si="23"/>
        <v>57455.555555555555</v>
      </c>
      <c r="G94" s="145" t="s">
        <v>129</v>
      </c>
      <c r="H94" s="134" t="s">
        <v>129</v>
      </c>
      <c r="M94" s="151"/>
      <c r="N94" s="152"/>
      <c r="O94" s="161"/>
      <c r="P94" s="161"/>
      <c r="Q94" s="161"/>
      <c r="R94" s="161"/>
    </row>
    <row r="95" spans="1:18" ht="27.75" customHeight="1">
      <c r="A95" s="131" t="s">
        <v>24</v>
      </c>
      <c r="B95" s="198">
        <v>8032</v>
      </c>
      <c r="C95" s="144">
        <f t="shared" si="22"/>
        <v>11610.582010582011</v>
      </c>
      <c r="D95" s="144">
        <f t="shared" si="22"/>
        <v>16905.820105820105</v>
      </c>
      <c r="E95" s="144">
        <f t="shared" si="23"/>
        <v>4706.1002178649233</v>
      </c>
      <c r="F95" s="144">
        <f t="shared" si="23"/>
        <v>16905.820105820105</v>
      </c>
      <c r="G95" s="145" t="s">
        <v>129</v>
      </c>
      <c r="H95" s="134" t="s">
        <v>129</v>
      </c>
      <c r="M95" s="151"/>
      <c r="N95" s="152"/>
      <c r="O95" s="161"/>
      <c r="P95" s="161"/>
      <c r="Q95" s="161"/>
      <c r="R95" s="161"/>
    </row>
    <row r="96" spans="1:18" ht="27.75" customHeight="1">
      <c r="A96" s="131" t="s">
        <v>22</v>
      </c>
      <c r="B96" s="198">
        <v>8033</v>
      </c>
      <c r="C96" s="144">
        <f t="shared" si="22"/>
        <v>11788.290229885057</v>
      </c>
      <c r="D96" s="144">
        <f t="shared" si="22"/>
        <v>15071.784232365146</v>
      </c>
      <c r="E96" s="144">
        <f t="shared" si="23"/>
        <v>14903.120089786755</v>
      </c>
      <c r="F96" s="144">
        <f t="shared" si="23"/>
        <v>15071.784232365146</v>
      </c>
      <c r="G96" s="145" t="s">
        <v>129</v>
      </c>
      <c r="H96" s="134" t="s">
        <v>129</v>
      </c>
      <c r="M96" s="147"/>
      <c r="N96" s="148"/>
      <c r="O96" s="149"/>
      <c r="P96" s="149"/>
      <c r="Q96" s="149"/>
      <c r="R96" s="149"/>
    </row>
    <row r="97" spans="1:18" s="200" customFormat="1">
      <c r="A97" s="162"/>
      <c r="C97" s="163"/>
      <c r="D97" s="164"/>
      <c r="E97" s="165"/>
      <c r="F97" s="165"/>
      <c r="G97" s="165"/>
      <c r="H97" s="165"/>
      <c r="I97" s="187"/>
      <c r="M97" s="151"/>
      <c r="N97" s="152"/>
      <c r="O97" s="153"/>
      <c r="P97" s="153"/>
      <c r="Q97" s="153"/>
      <c r="R97" s="153"/>
    </row>
    <row r="98" spans="1:18" s="200" customFormat="1">
      <c r="A98" s="162"/>
      <c r="C98" s="163"/>
      <c r="D98" s="164"/>
      <c r="E98" s="165"/>
      <c r="F98" s="165"/>
      <c r="G98" s="165"/>
      <c r="H98" s="165"/>
      <c r="I98" s="187"/>
      <c r="M98" s="151"/>
      <c r="N98" s="152"/>
      <c r="O98" s="153"/>
      <c r="P98" s="153"/>
      <c r="Q98" s="153"/>
      <c r="R98" s="153"/>
    </row>
    <row r="99" spans="1:18" s="200" customFormat="1" ht="28.5" customHeight="1">
      <c r="A99" s="207" t="s">
        <v>209</v>
      </c>
      <c r="B99" s="166"/>
      <c r="C99" s="228"/>
      <c r="D99" s="229"/>
      <c r="E99" s="167"/>
      <c r="F99" s="167"/>
      <c r="G99" s="234" t="s">
        <v>184</v>
      </c>
      <c r="H99" s="234"/>
      <c r="I99" s="188"/>
      <c r="M99" s="151"/>
      <c r="N99" s="152"/>
      <c r="O99" s="153"/>
      <c r="P99" s="153"/>
      <c r="Q99" s="153"/>
      <c r="R99" s="153"/>
    </row>
    <row r="100" spans="1:18" s="200" customFormat="1">
      <c r="A100" s="200" t="s">
        <v>10</v>
      </c>
      <c r="B100" s="111"/>
      <c r="C100" s="226" t="s">
        <v>11</v>
      </c>
      <c r="D100" s="226"/>
      <c r="E100" s="201"/>
      <c r="F100" s="201"/>
      <c r="G100" s="227" t="s">
        <v>16</v>
      </c>
      <c r="H100" s="227"/>
      <c r="I100" s="187"/>
    </row>
    <row r="101" spans="1:18" s="200" customFormat="1">
      <c r="A101" s="168"/>
      <c r="E101" s="111"/>
      <c r="F101" s="111"/>
      <c r="G101" s="111"/>
      <c r="H101" s="111"/>
      <c r="I101" s="187"/>
    </row>
    <row r="102" spans="1:18" s="200" customFormat="1">
      <c r="A102" s="168"/>
      <c r="E102" s="111"/>
      <c r="F102" s="111"/>
      <c r="G102" s="111"/>
      <c r="H102" s="111"/>
      <c r="I102" s="187"/>
    </row>
    <row r="103" spans="1:18" s="200" customFormat="1">
      <c r="A103" s="168"/>
      <c r="E103" s="111"/>
      <c r="F103" s="111"/>
      <c r="G103" s="111"/>
      <c r="H103" s="111"/>
      <c r="I103" s="187"/>
    </row>
    <row r="104" spans="1:18" s="200" customFormat="1">
      <c r="A104" s="168"/>
      <c r="E104" s="111"/>
      <c r="F104" s="111"/>
      <c r="G104" s="111"/>
      <c r="H104" s="111"/>
      <c r="I104" s="187"/>
    </row>
    <row r="105" spans="1:18" s="200" customFormat="1">
      <c r="A105" s="168"/>
      <c r="E105" s="111"/>
      <c r="F105" s="111"/>
      <c r="G105" s="111"/>
      <c r="H105" s="111"/>
      <c r="I105" s="187"/>
    </row>
    <row r="106" spans="1:18" s="200" customFormat="1">
      <c r="A106" s="168"/>
      <c r="E106" s="111"/>
      <c r="F106" s="111"/>
      <c r="G106" s="111"/>
      <c r="H106" s="111"/>
      <c r="I106" s="187"/>
    </row>
    <row r="107" spans="1:18" s="200" customFormat="1">
      <c r="A107" s="168"/>
      <c r="E107" s="111"/>
      <c r="F107" s="111"/>
      <c r="G107" s="111"/>
      <c r="H107" s="111"/>
      <c r="I107" s="187"/>
    </row>
    <row r="108" spans="1:18" s="200" customFormat="1">
      <c r="A108" s="168"/>
      <c r="E108" s="111"/>
      <c r="F108" s="111"/>
      <c r="G108" s="111"/>
      <c r="H108" s="111"/>
      <c r="I108" s="187"/>
    </row>
    <row r="109" spans="1:18" s="200" customFormat="1">
      <c r="A109" s="168"/>
      <c r="E109" s="111"/>
      <c r="F109" s="111"/>
      <c r="G109" s="111"/>
      <c r="H109" s="111"/>
      <c r="I109" s="187"/>
    </row>
    <row r="110" spans="1:18" s="200" customFormat="1">
      <c r="A110" s="168"/>
      <c r="E110" s="111"/>
      <c r="F110" s="111"/>
      <c r="G110" s="111"/>
      <c r="H110" s="111"/>
      <c r="I110" s="187"/>
    </row>
    <row r="111" spans="1:18" s="200" customFormat="1">
      <c r="A111" s="168"/>
      <c r="E111" s="111"/>
      <c r="F111" s="111"/>
      <c r="G111" s="111"/>
      <c r="H111" s="111"/>
      <c r="I111" s="187"/>
    </row>
    <row r="112" spans="1:18" s="200" customFormat="1">
      <c r="A112" s="168"/>
      <c r="E112" s="111"/>
      <c r="F112" s="111"/>
      <c r="G112" s="111"/>
      <c r="H112" s="111"/>
      <c r="I112" s="187"/>
    </row>
    <row r="113" spans="1:9" s="200" customFormat="1">
      <c r="A113" s="168"/>
      <c r="E113" s="111"/>
      <c r="F113" s="111"/>
      <c r="G113" s="111"/>
      <c r="H113" s="111"/>
      <c r="I113" s="187"/>
    </row>
    <row r="114" spans="1:9" s="200" customFormat="1">
      <c r="A114" s="168"/>
      <c r="E114" s="111"/>
      <c r="F114" s="111"/>
      <c r="G114" s="111"/>
      <c r="H114" s="111"/>
      <c r="I114" s="187"/>
    </row>
    <row r="115" spans="1:9" s="200" customFormat="1">
      <c r="A115" s="168"/>
      <c r="E115" s="111"/>
      <c r="F115" s="111"/>
      <c r="G115" s="111"/>
      <c r="H115" s="111"/>
      <c r="I115" s="187"/>
    </row>
    <row r="116" spans="1:9" s="200" customFormat="1">
      <c r="A116" s="168"/>
      <c r="E116" s="111"/>
      <c r="F116" s="111"/>
      <c r="G116" s="111"/>
      <c r="H116" s="111"/>
      <c r="I116" s="187"/>
    </row>
    <row r="117" spans="1:9" s="200" customFormat="1">
      <c r="A117" s="168"/>
      <c r="E117" s="111"/>
      <c r="F117" s="111"/>
      <c r="G117" s="111"/>
      <c r="H117" s="111"/>
      <c r="I117" s="187"/>
    </row>
    <row r="118" spans="1:9" s="200" customFormat="1">
      <c r="A118" s="168"/>
      <c r="E118" s="111"/>
      <c r="F118" s="111"/>
      <c r="G118" s="111"/>
      <c r="H118" s="111"/>
      <c r="I118" s="187"/>
    </row>
    <row r="119" spans="1:9" s="200" customFormat="1">
      <c r="A119" s="168"/>
      <c r="E119" s="111"/>
      <c r="F119" s="111"/>
      <c r="G119" s="111"/>
      <c r="H119" s="111"/>
      <c r="I119" s="187"/>
    </row>
    <row r="120" spans="1:9" s="200" customFormat="1">
      <c r="A120" s="168"/>
      <c r="E120" s="111"/>
      <c r="F120" s="111"/>
      <c r="G120" s="111"/>
      <c r="H120" s="111"/>
      <c r="I120" s="187"/>
    </row>
    <row r="121" spans="1:9" s="200" customFormat="1">
      <c r="A121" s="168"/>
      <c r="E121" s="111"/>
      <c r="F121" s="111"/>
      <c r="G121" s="111"/>
      <c r="H121" s="111"/>
      <c r="I121" s="187"/>
    </row>
    <row r="122" spans="1:9" s="200" customFormat="1">
      <c r="A122" s="168"/>
      <c r="E122" s="111"/>
      <c r="F122" s="111"/>
      <c r="G122" s="111"/>
      <c r="H122" s="111"/>
      <c r="I122" s="187"/>
    </row>
    <row r="123" spans="1:9" s="200" customFormat="1">
      <c r="A123" s="168"/>
      <c r="E123" s="111"/>
      <c r="F123" s="111"/>
      <c r="G123" s="111"/>
      <c r="H123" s="111"/>
      <c r="I123" s="187"/>
    </row>
    <row r="124" spans="1:9" s="200" customFormat="1">
      <c r="A124" s="168"/>
      <c r="E124" s="111"/>
      <c r="F124" s="111"/>
      <c r="G124" s="111"/>
      <c r="H124" s="111"/>
      <c r="I124" s="187"/>
    </row>
    <row r="125" spans="1:9" s="200" customFormat="1">
      <c r="A125" s="168"/>
      <c r="E125" s="111"/>
      <c r="F125" s="111"/>
      <c r="G125" s="111"/>
      <c r="H125" s="111"/>
      <c r="I125" s="187"/>
    </row>
    <row r="126" spans="1:9" s="200" customFormat="1">
      <c r="A126" s="168"/>
      <c r="E126" s="111"/>
      <c r="F126" s="111"/>
      <c r="G126" s="111"/>
      <c r="H126" s="111"/>
      <c r="I126" s="187"/>
    </row>
    <row r="127" spans="1:9" s="200" customFormat="1">
      <c r="A127" s="168"/>
      <c r="E127" s="111"/>
      <c r="F127" s="111"/>
      <c r="G127" s="111"/>
      <c r="H127" s="111"/>
      <c r="I127" s="187"/>
    </row>
    <row r="128" spans="1:9" s="200" customFormat="1">
      <c r="A128" s="168"/>
      <c r="E128" s="111"/>
      <c r="F128" s="111"/>
      <c r="G128" s="111"/>
      <c r="H128" s="111"/>
      <c r="I128" s="187"/>
    </row>
    <row r="129" spans="1:9" s="200" customFormat="1">
      <c r="A129" s="168"/>
      <c r="E129" s="111"/>
      <c r="F129" s="111"/>
      <c r="G129" s="111"/>
      <c r="H129" s="111"/>
      <c r="I129" s="187"/>
    </row>
    <row r="130" spans="1:9" s="200" customFormat="1">
      <c r="A130" s="168"/>
      <c r="E130" s="111"/>
      <c r="F130" s="111"/>
      <c r="G130" s="111"/>
      <c r="H130" s="111"/>
      <c r="I130" s="187"/>
    </row>
    <row r="131" spans="1:9" s="200" customFormat="1">
      <c r="A131" s="168"/>
      <c r="E131" s="111"/>
      <c r="F131" s="111"/>
      <c r="G131" s="111"/>
      <c r="H131" s="111"/>
      <c r="I131" s="187"/>
    </row>
    <row r="132" spans="1:9" s="200" customFormat="1">
      <c r="A132" s="168"/>
      <c r="E132" s="111"/>
      <c r="F132" s="111"/>
      <c r="G132" s="111"/>
      <c r="H132" s="111"/>
      <c r="I132" s="187"/>
    </row>
    <row r="133" spans="1:9" s="200" customFormat="1">
      <c r="A133" s="168"/>
      <c r="E133" s="111"/>
      <c r="F133" s="111"/>
      <c r="G133" s="111"/>
      <c r="H133" s="111"/>
      <c r="I133" s="187"/>
    </row>
    <row r="134" spans="1:9" s="200" customFormat="1">
      <c r="A134" s="168"/>
      <c r="E134" s="111"/>
      <c r="F134" s="111"/>
      <c r="G134" s="111"/>
      <c r="H134" s="111"/>
      <c r="I134" s="187"/>
    </row>
    <row r="135" spans="1:9" s="200" customFormat="1">
      <c r="A135" s="168"/>
      <c r="E135" s="111"/>
      <c r="F135" s="111"/>
      <c r="G135" s="111"/>
      <c r="H135" s="111"/>
      <c r="I135" s="187"/>
    </row>
    <row r="136" spans="1:9" s="200" customFormat="1">
      <c r="A136" s="168"/>
      <c r="E136" s="111"/>
      <c r="F136" s="111"/>
      <c r="G136" s="111"/>
      <c r="H136" s="111"/>
      <c r="I136" s="187"/>
    </row>
    <row r="137" spans="1:9" s="200" customFormat="1">
      <c r="A137" s="168"/>
      <c r="E137" s="111"/>
      <c r="F137" s="111"/>
      <c r="G137" s="111"/>
      <c r="H137" s="111"/>
      <c r="I137" s="187"/>
    </row>
    <row r="138" spans="1:9" s="200" customFormat="1">
      <c r="A138" s="168"/>
      <c r="E138" s="111"/>
      <c r="F138" s="111"/>
      <c r="G138" s="111"/>
      <c r="H138" s="111"/>
      <c r="I138" s="187"/>
    </row>
    <row r="139" spans="1:9" s="200" customFormat="1">
      <c r="A139" s="168"/>
      <c r="E139" s="111"/>
      <c r="F139" s="111"/>
      <c r="G139" s="111"/>
      <c r="H139" s="111"/>
      <c r="I139" s="187"/>
    </row>
    <row r="140" spans="1:9" s="200" customFormat="1">
      <c r="A140" s="168"/>
      <c r="E140" s="111"/>
      <c r="F140" s="111"/>
      <c r="G140" s="111"/>
      <c r="H140" s="111"/>
      <c r="I140" s="187"/>
    </row>
    <row r="141" spans="1:9" s="200" customFormat="1">
      <c r="A141" s="168"/>
      <c r="E141" s="111"/>
      <c r="F141" s="111"/>
      <c r="G141" s="111"/>
      <c r="H141" s="111"/>
      <c r="I141" s="187"/>
    </row>
    <row r="142" spans="1:9" s="200" customFormat="1">
      <c r="A142" s="168"/>
      <c r="E142" s="111"/>
      <c r="F142" s="111"/>
      <c r="G142" s="111"/>
      <c r="H142" s="111"/>
      <c r="I142" s="187"/>
    </row>
    <row r="143" spans="1:9" s="200" customFormat="1">
      <c r="A143" s="168"/>
      <c r="E143" s="111"/>
      <c r="F143" s="111"/>
      <c r="G143" s="111"/>
      <c r="H143" s="111"/>
      <c r="I143" s="187"/>
    </row>
    <row r="144" spans="1:9" s="200" customFormat="1">
      <c r="A144" s="168"/>
      <c r="E144" s="111"/>
      <c r="F144" s="111"/>
      <c r="G144" s="111"/>
      <c r="H144" s="111"/>
      <c r="I144" s="187"/>
    </row>
    <row r="145" spans="1:9" s="200" customFormat="1">
      <c r="A145" s="168"/>
      <c r="E145" s="111"/>
      <c r="F145" s="111"/>
      <c r="G145" s="111"/>
      <c r="H145" s="111"/>
      <c r="I145" s="187"/>
    </row>
    <row r="146" spans="1:9" s="200" customFormat="1">
      <c r="A146" s="168"/>
      <c r="E146" s="111"/>
      <c r="F146" s="111"/>
      <c r="G146" s="111"/>
      <c r="H146" s="111"/>
      <c r="I146" s="187"/>
    </row>
    <row r="147" spans="1:9" s="200" customFormat="1">
      <c r="A147" s="168"/>
      <c r="E147" s="111"/>
      <c r="F147" s="111"/>
      <c r="G147" s="111"/>
      <c r="H147" s="111"/>
      <c r="I147" s="187"/>
    </row>
    <row r="148" spans="1:9" s="200" customFormat="1">
      <c r="A148" s="168"/>
      <c r="E148" s="111"/>
      <c r="F148" s="111"/>
      <c r="G148" s="111"/>
      <c r="H148" s="111"/>
      <c r="I148" s="187"/>
    </row>
    <row r="149" spans="1:9" s="200" customFormat="1">
      <c r="A149" s="168"/>
      <c r="E149" s="111"/>
      <c r="F149" s="111"/>
      <c r="G149" s="111"/>
      <c r="H149" s="111"/>
      <c r="I149" s="187"/>
    </row>
    <row r="150" spans="1:9" s="200" customFormat="1">
      <c r="A150" s="168"/>
      <c r="E150" s="111"/>
      <c r="F150" s="111"/>
      <c r="G150" s="111"/>
      <c r="H150" s="111"/>
      <c r="I150" s="187"/>
    </row>
    <row r="151" spans="1:9" s="200" customFormat="1">
      <c r="A151" s="168"/>
      <c r="E151" s="111"/>
      <c r="F151" s="111"/>
      <c r="G151" s="111"/>
      <c r="H151" s="111"/>
      <c r="I151" s="187"/>
    </row>
    <row r="152" spans="1:9" s="200" customFormat="1">
      <c r="A152" s="168"/>
      <c r="E152" s="111"/>
      <c r="F152" s="111"/>
      <c r="G152" s="111"/>
      <c r="H152" s="111"/>
      <c r="I152" s="187"/>
    </row>
    <row r="153" spans="1:9" s="200" customFormat="1">
      <c r="A153" s="168"/>
      <c r="E153" s="111"/>
      <c r="F153" s="111"/>
      <c r="G153" s="111"/>
      <c r="H153" s="111"/>
      <c r="I153" s="187"/>
    </row>
    <row r="154" spans="1:9" s="200" customFormat="1">
      <c r="A154" s="168"/>
      <c r="E154" s="111"/>
      <c r="F154" s="111"/>
      <c r="G154" s="111"/>
      <c r="H154" s="111"/>
      <c r="I154" s="187"/>
    </row>
    <row r="155" spans="1:9" s="200" customFormat="1">
      <c r="A155" s="168"/>
      <c r="E155" s="111"/>
      <c r="F155" s="111"/>
      <c r="G155" s="111"/>
      <c r="H155" s="111"/>
      <c r="I155" s="187"/>
    </row>
    <row r="156" spans="1:9" s="200" customFormat="1">
      <c r="A156" s="168"/>
      <c r="E156" s="111"/>
      <c r="F156" s="111"/>
      <c r="G156" s="111"/>
      <c r="H156" s="111"/>
      <c r="I156" s="187"/>
    </row>
    <row r="157" spans="1:9" s="200" customFormat="1">
      <c r="A157" s="168"/>
      <c r="E157" s="111"/>
      <c r="F157" s="111"/>
      <c r="G157" s="111"/>
      <c r="H157" s="111"/>
      <c r="I157" s="187"/>
    </row>
    <row r="158" spans="1:9" s="200" customFormat="1">
      <c r="A158" s="168"/>
      <c r="E158" s="111"/>
      <c r="F158" s="111"/>
      <c r="G158" s="111"/>
      <c r="H158" s="111"/>
      <c r="I158" s="187"/>
    </row>
    <row r="159" spans="1:9" s="200" customFormat="1">
      <c r="A159" s="168"/>
      <c r="E159" s="111"/>
      <c r="F159" s="111"/>
      <c r="G159" s="111"/>
      <c r="H159" s="111"/>
      <c r="I159" s="187"/>
    </row>
    <row r="160" spans="1:9" s="200" customFormat="1">
      <c r="A160" s="168"/>
      <c r="E160" s="111"/>
      <c r="F160" s="111"/>
      <c r="G160" s="111"/>
      <c r="H160" s="111"/>
      <c r="I160" s="187"/>
    </row>
    <row r="161" spans="1:9" s="200" customFormat="1">
      <c r="A161" s="168"/>
      <c r="E161" s="111"/>
      <c r="F161" s="111"/>
      <c r="G161" s="111"/>
      <c r="H161" s="111"/>
      <c r="I161" s="187"/>
    </row>
    <row r="162" spans="1:9" s="200" customFormat="1">
      <c r="A162" s="168"/>
      <c r="E162" s="111"/>
      <c r="F162" s="111"/>
      <c r="G162" s="111"/>
      <c r="H162" s="111"/>
      <c r="I162" s="187"/>
    </row>
    <row r="163" spans="1:9" s="200" customFormat="1">
      <c r="A163" s="168"/>
      <c r="E163" s="111"/>
      <c r="F163" s="111"/>
      <c r="G163" s="111"/>
      <c r="H163" s="111"/>
      <c r="I163" s="187"/>
    </row>
    <row r="164" spans="1:9" s="200" customFormat="1">
      <c r="A164" s="168"/>
      <c r="E164" s="111"/>
      <c r="F164" s="111"/>
      <c r="G164" s="111"/>
      <c r="H164" s="111"/>
      <c r="I164" s="187"/>
    </row>
    <row r="165" spans="1:9" s="200" customFormat="1">
      <c r="A165" s="168"/>
      <c r="E165" s="111"/>
      <c r="F165" s="111"/>
      <c r="G165" s="111"/>
      <c r="H165" s="111"/>
      <c r="I165" s="187"/>
    </row>
    <row r="166" spans="1:9" s="200" customFormat="1">
      <c r="A166" s="168"/>
      <c r="E166" s="111"/>
      <c r="F166" s="111"/>
      <c r="G166" s="111"/>
      <c r="H166" s="111"/>
      <c r="I166" s="187"/>
    </row>
    <row r="167" spans="1:9" s="200" customFormat="1">
      <c r="A167" s="168"/>
      <c r="E167" s="111"/>
      <c r="F167" s="111"/>
      <c r="G167" s="111"/>
      <c r="H167" s="111"/>
      <c r="I167" s="187"/>
    </row>
    <row r="168" spans="1:9" s="200" customFormat="1">
      <c r="A168" s="168"/>
      <c r="E168" s="111"/>
      <c r="F168" s="111"/>
      <c r="G168" s="111"/>
      <c r="H168" s="111"/>
      <c r="I168" s="187"/>
    </row>
    <row r="169" spans="1:9" s="200" customFormat="1">
      <c r="A169" s="168"/>
      <c r="E169" s="111"/>
      <c r="F169" s="111"/>
      <c r="G169" s="111"/>
      <c r="H169" s="111"/>
      <c r="I169" s="187"/>
    </row>
    <row r="170" spans="1:9" s="200" customFormat="1">
      <c r="A170" s="168"/>
      <c r="E170" s="111"/>
      <c r="F170" s="111"/>
      <c r="G170" s="111"/>
      <c r="H170" s="111"/>
      <c r="I170" s="187"/>
    </row>
    <row r="171" spans="1:9" s="200" customFormat="1">
      <c r="A171" s="168"/>
      <c r="E171" s="111"/>
      <c r="F171" s="111"/>
      <c r="G171" s="111"/>
      <c r="H171" s="111"/>
      <c r="I171" s="187"/>
    </row>
    <row r="172" spans="1:9" s="200" customFormat="1">
      <c r="A172" s="168"/>
      <c r="E172" s="111"/>
      <c r="F172" s="111"/>
      <c r="G172" s="111"/>
      <c r="H172" s="111"/>
      <c r="I172" s="187"/>
    </row>
    <row r="173" spans="1:9" s="200" customFormat="1">
      <c r="A173" s="168"/>
      <c r="E173" s="111"/>
      <c r="F173" s="111"/>
      <c r="G173" s="111"/>
      <c r="H173" s="111"/>
      <c r="I173" s="187"/>
    </row>
    <row r="174" spans="1:9" s="200" customFormat="1">
      <c r="A174" s="168"/>
      <c r="E174" s="111"/>
      <c r="F174" s="111"/>
      <c r="G174" s="111"/>
      <c r="H174" s="111"/>
      <c r="I174" s="187"/>
    </row>
    <row r="175" spans="1:9" s="200" customFormat="1">
      <c r="A175" s="168"/>
      <c r="E175" s="111"/>
      <c r="F175" s="111"/>
      <c r="G175" s="111"/>
      <c r="H175" s="111"/>
      <c r="I175" s="187"/>
    </row>
    <row r="176" spans="1:9" s="200" customFormat="1">
      <c r="A176" s="168"/>
      <c r="E176" s="111"/>
      <c r="F176" s="111"/>
      <c r="G176" s="111"/>
      <c r="H176" s="111"/>
      <c r="I176" s="187"/>
    </row>
    <row r="177" spans="1:9" s="200" customFormat="1">
      <c r="A177" s="168"/>
      <c r="E177" s="111"/>
      <c r="F177" s="111"/>
      <c r="G177" s="111"/>
      <c r="H177" s="111"/>
      <c r="I177" s="187"/>
    </row>
    <row r="178" spans="1:9" s="200" customFormat="1">
      <c r="A178" s="168"/>
      <c r="E178" s="111"/>
      <c r="F178" s="111"/>
      <c r="G178" s="111"/>
      <c r="H178" s="111"/>
      <c r="I178" s="187"/>
    </row>
    <row r="179" spans="1:9" s="200" customFormat="1">
      <c r="A179" s="168"/>
      <c r="E179" s="111"/>
      <c r="F179" s="111"/>
      <c r="G179" s="111"/>
      <c r="H179" s="111"/>
      <c r="I179" s="187"/>
    </row>
    <row r="180" spans="1:9" s="200" customFormat="1">
      <c r="A180" s="168"/>
      <c r="E180" s="111"/>
      <c r="F180" s="111"/>
      <c r="G180" s="111"/>
      <c r="H180" s="111"/>
      <c r="I180" s="187"/>
    </row>
    <row r="181" spans="1:9" s="200" customFormat="1">
      <c r="A181" s="168"/>
      <c r="E181" s="111"/>
      <c r="F181" s="111"/>
      <c r="G181" s="111"/>
      <c r="H181" s="111"/>
      <c r="I181" s="187"/>
    </row>
    <row r="182" spans="1:9" s="200" customFormat="1">
      <c r="A182" s="168"/>
      <c r="E182" s="111"/>
      <c r="F182" s="111"/>
      <c r="G182" s="111"/>
      <c r="H182" s="111"/>
      <c r="I182" s="187"/>
    </row>
    <row r="183" spans="1:9" s="200" customFormat="1">
      <c r="A183" s="168"/>
      <c r="E183" s="111"/>
      <c r="F183" s="111"/>
      <c r="G183" s="111"/>
      <c r="H183" s="111"/>
      <c r="I183" s="187"/>
    </row>
    <row r="184" spans="1:9" s="200" customFormat="1">
      <c r="A184" s="168"/>
      <c r="E184" s="111"/>
      <c r="F184" s="111"/>
      <c r="G184" s="111"/>
      <c r="H184" s="111"/>
      <c r="I184" s="187"/>
    </row>
    <row r="185" spans="1:9" s="200" customFormat="1">
      <c r="A185" s="168"/>
      <c r="E185" s="111"/>
      <c r="F185" s="111"/>
      <c r="G185" s="111"/>
      <c r="H185" s="111"/>
      <c r="I185" s="187"/>
    </row>
    <row r="186" spans="1:9" s="200" customFormat="1">
      <c r="A186" s="168"/>
      <c r="E186" s="111"/>
      <c r="F186" s="111"/>
      <c r="G186" s="111"/>
      <c r="H186" s="111"/>
      <c r="I186" s="187"/>
    </row>
    <row r="187" spans="1:9" s="200" customFormat="1">
      <c r="A187" s="168"/>
      <c r="E187" s="111"/>
      <c r="F187" s="111"/>
      <c r="G187" s="111"/>
      <c r="H187" s="111"/>
      <c r="I187" s="187"/>
    </row>
    <row r="188" spans="1:9" s="200" customFormat="1">
      <c r="A188" s="168"/>
      <c r="E188" s="111"/>
      <c r="F188" s="111"/>
      <c r="G188" s="111"/>
      <c r="H188" s="111"/>
      <c r="I188" s="187"/>
    </row>
    <row r="189" spans="1:9" s="200" customFormat="1">
      <c r="A189" s="168"/>
      <c r="E189" s="111"/>
      <c r="F189" s="111"/>
      <c r="G189" s="111"/>
      <c r="H189" s="111"/>
      <c r="I189" s="187"/>
    </row>
    <row r="190" spans="1:9" s="200" customFormat="1">
      <c r="A190" s="168"/>
      <c r="E190" s="111"/>
      <c r="F190" s="111"/>
      <c r="G190" s="111"/>
      <c r="H190" s="111"/>
      <c r="I190" s="187"/>
    </row>
    <row r="191" spans="1:9" s="200" customFormat="1">
      <c r="A191" s="168"/>
      <c r="E191" s="111"/>
      <c r="F191" s="111"/>
      <c r="G191" s="111"/>
      <c r="H191" s="111"/>
      <c r="I191" s="187"/>
    </row>
    <row r="192" spans="1:9" s="200" customFormat="1">
      <c r="A192" s="168"/>
      <c r="E192" s="111"/>
      <c r="F192" s="111"/>
      <c r="G192" s="111"/>
      <c r="H192" s="111"/>
      <c r="I192" s="187"/>
    </row>
    <row r="193" spans="1:9" s="200" customFormat="1">
      <c r="A193" s="168"/>
      <c r="E193" s="111"/>
      <c r="F193" s="111"/>
      <c r="G193" s="111"/>
      <c r="H193" s="111"/>
      <c r="I193" s="187"/>
    </row>
    <row r="194" spans="1:9" s="200" customFormat="1">
      <c r="A194" s="168"/>
      <c r="E194" s="111"/>
      <c r="F194" s="111"/>
      <c r="G194" s="111"/>
      <c r="H194" s="111"/>
      <c r="I194" s="187"/>
    </row>
    <row r="195" spans="1:9" s="200" customFormat="1">
      <c r="A195" s="168"/>
      <c r="E195" s="111"/>
      <c r="F195" s="111"/>
      <c r="G195" s="111"/>
      <c r="H195" s="111"/>
      <c r="I195" s="187"/>
    </row>
    <row r="196" spans="1:9" s="200" customFormat="1">
      <c r="A196" s="168"/>
      <c r="E196" s="111"/>
      <c r="F196" s="111"/>
      <c r="G196" s="111"/>
      <c r="H196" s="111"/>
      <c r="I196" s="187"/>
    </row>
    <row r="197" spans="1:9" s="200" customFormat="1">
      <c r="A197" s="168"/>
      <c r="E197" s="111"/>
      <c r="F197" s="111"/>
      <c r="G197" s="111"/>
      <c r="H197" s="111"/>
      <c r="I197" s="187"/>
    </row>
    <row r="198" spans="1:9" s="200" customFormat="1">
      <c r="A198" s="168"/>
      <c r="E198" s="111"/>
      <c r="F198" s="111"/>
      <c r="G198" s="111"/>
      <c r="H198" s="111"/>
      <c r="I198" s="187"/>
    </row>
    <row r="199" spans="1:9" s="200" customFormat="1">
      <c r="A199" s="168"/>
      <c r="E199" s="111"/>
      <c r="F199" s="111"/>
      <c r="G199" s="111"/>
      <c r="H199" s="111"/>
      <c r="I199" s="187"/>
    </row>
    <row r="200" spans="1:9" s="200" customFormat="1">
      <c r="A200" s="168"/>
      <c r="E200" s="111"/>
      <c r="F200" s="111"/>
      <c r="G200" s="111"/>
      <c r="H200" s="111"/>
      <c r="I200" s="187"/>
    </row>
    <row r="201" spans="1:9" s="200" customFormat="1">
      <c r="A201" s="168"/>
      <c r="E201" s="111"/>
      <c r="F201" s="111"/>
      <c r="G201" s="111"/>
      <c r="H201" s="111"/>
      <c r="I201" s="187"/>
    </row>
    <row r="202" spans="1:9" s="200" customFormat="1">
      <c r="A202" s="168"/>
      <c r="E202" s="111"/>
      <c r="F202" s="111"/>
      <c r="G202" s="111"/>
      <c r="H202" s="111"/>
      <c r="I202" s="187"/>
    </row>
    <row r="203" spans="1:9" s="200" customFormat="1">
      <c r="A203" s="168"/>
      <c r="E203" s="111"/>
      <c r="F203" s="111"/>
      <c r="G203" s="111"/>
      <c r="H203" s="111"/>
      <c r="I203" s="187"/>
    </row>
    <row r="204" spans="1:9" s="200" customFormat="1">
      <c r="A204" s="168"/>
      <c r="E204" s="111"/>
      <c r="F204" s="111"/>
      <c r="G204" s="111"/>
      <c r="H204" s="111"/>
      <c r="I204" s="187"/>
    </row>
    <row r="205" spans="1:9" s="200" customFormat="1">
      <c r="A205" s="168"/>
      <c r="E205" s="111"/>
      <c r="F205" s="111"/>
      <c r="G205" s="111"/>
      <c r="H205" s="111"/>
      <c r="I205" s="187"/>
    </row>
    <row r="206" spans="1:9" s="200" customFormat="1">
      <c r="A206" s="168"/>
      <c r="E206" s="111"/>
      <c r="F206" s="111"/>
      <c r="G206" s="111"/>
      <c r="H206" s="111"/>
      <c r="I206" s="187"/>
    </row>
    <row r="207" spans="1:9" s="200" customFormat="1">
      <c r="A207" s="168"/>
      <c r="E207" s="111"/>
      <c r="F207" s="111"/>
      <c r="G207" s="111"/>
      <c r="H207" s="111"/>
      <c r="I207" s="187"/>
    </row>
    <row r="208" spans="1:9" s="200" customFormat="1">
      <c r="A208" s="168"/>
      <c r="E208" s="111"/>
      <c r="F208" s="111"/>
      <c r="G208" s="111"/>
      <c r="H208" s="111"/>
      <c r="I208" s="187"/>
    </row>
    <row r="209" spans="1:9" s="200" customFormat="1">
      <c r="A209" s="168"/>
      <c r="E209" s="111"/>
      <c r="F209" s="111"/>
      <c r="G209" s="111"/>
      <c r="H209" s="111"/>
      <c r="I209" s="187"/>
    </row>
    <row r="210" spans="1:9" s="200" customFormat="1">
      <c r="A210" s="168"/>
      <c r="E210" s="111"/>
      <c r="F210" s="111"/>
      <c r="G210" s="111"/>
      <c r="H210" s="111"/>
      <c r="I210" s="187"/>
    </row>
    <row r="211" spans="1:9" s="200" customFormat="1">
      <c r="A211" s="168"/>
      <c r="E211" s="111"/>
      <c r="F211" s="111"/>
      <c r="G211" s="111"/>
      <c r="H211" s="111"/>
      <c r="I211" s="187"/>
    </row>
    <row r="212" spans="1:9" s="200" customFormat="1">
      <c r="A212" s="168"/>
      <c r="E212" s="111"/>
      <c r="F212" s="111"/>
      <c r="G212" s="111"/>
      <c r="H212" s="111"/>
      <c r="I212" s="187"/>
    </row>
    <row r="213" spans="1:9" s="200" customFormat="1">
      <c r="A213" s="168"/>
      <c r="E213" s="111"/>
      <c r="F213" s="111"/>
      <c r="G213" s="111"/>
      <c r="H213" s="111"/>
      <c r="I213" s="187"/>
    </row>
    <row r="214" spans="1:9" s="200" customFormat="1">
      <c r="A214" s="168"/>
      <c r="E214" s="111"/>
      <c r="F214" s="111"/>
      <c r="G214" s="111"/>
      <c r="H214" s="111"/>
      <c r="I214" s="187"/>
    </row>
    <row r="215" spans="1:9" s="200" customFormat="1">
      <c r="A215" s="168"/>
      <c r="E215" s="111"/>
      <c r="F215" s="111"/>
      <c r="G215" s="111"/>
      <c r="H215" s="111"/>
      <c r="I215" s="187"/>
    </row>
    <row r="216" spans="1:9" s="200" customFormat="1">
      <c r="A216" s="168"/>
      <c r="E216" s="111"/>
      <c r="F216" s="111"/>
      <c r="G216" s="111"/>
      <c r="H216" s="111"/>
      <c r="I216" s="187"/>
    </row>
    <row r="217" spans="1:9" s="200" customFormat="1">
      <c r="A217" s="168"/>
      <c r="E217" s="111"/>
      <c r="F217" s="111"/>
      <c r="G217" s="111"/>
      <c r="H217" s="111"/>
      <c r="I217" s="187"/>
    </row>
    <row r="218" spans="1:9" s="200" customFormat="1">
      <c r="A218" s="168"/>
      <c r="E218" s="111"/>
      <c r="F218" s="111"/>
      <c r="G218" s="111"/>
      <c r="H218" s="111"/>
      <c r="I218" s="187"/>
    </row>
    <row r="219" spans="1:9" s="200" customFormat="1">
      <c r="A219" s="168"/>
      <c r="E219" s="111"/>
      <c r="F219" s="111"/>
      <c r="G219" s="111"/>
      <c r="H219" s="111"/>
      <c r="I219" s="187"/>
    </row>
    <row r="220" spans="1:9" s="200" customFormat="1">
      <c r="A220" s="168"/>
      <c r="E220" s="111"/>
      <c r="F220" s="111"/>
      <c r="G220" s="111"/>
      <c r="H220" s="111"/>
      <c r="I220" s="187"/>
    </row>
    <row r="221" spans="1:9" s="200" customFormat="1">
      <c r="A221" s="168"/>
      <c r="E221" s="111"/>
      <c r="F221" s="111"/>
      <c r="G221" s="111"/>
      <c r="H221" s="111"/>
      <c r="I221" s="187"/>
    </row>
    <row r="222" spans="1:9" s="200" customFormat="1">
      <c r="A222" s="168"/>
      <c r="E222" s="111"/>
      <c r="F222" s="111"/>
      <c r="G222" s="111"/>
      <c r="H222" s="111"/>
      <c r="I222" s="187"/>
    </row>
    <row r="223" spans="1:9" s="200" customFormat="1">
      <c r="A223" s="168"/>
      <c r="E223" s="111"/>
      <c r="F223" s="111"/>
      <c r="G223" s="111"/>
      <c r="H223" s="111"/>
      <c r="I223" s="187"/>
    </row>
    <row r="224" spans="1:9" s="200" customFormat="1">
      <c r="A224" s="168"/>
      <c r="E224" s="111"/>
      <c r="F224" s="111"/>
      <c r="G224" s="111"/>
      <c r="H224" s="111"/>
      <c r="I224" s="187"/>
    </row>
    <row r="225" spans="1:9" s="200" customFormat="1">
      <c r="A225" s="168"/>
      <c r="E225" s="111"/>
      <c r="F225" s="111"/>
      <c r="G225" s="111"/>
      <c r="H225" s="111"/>
      <c r="I225" s="187"/>
    </row>
    <row r="226" spans="1:9" s="200" customFormat="1">
      <c r="A226" s="168"/>
      <c r="E226" s="111"/>
      <c r="F226" s="111"/>
      <c r="G226" s="111"/>
      <c r="H226" s="111"/>
      <c r="I226" s="187"/>
    </row>
    <row r="227" spans="1:9" s="200" customFormat="1">
      <c r="A227" s="168"/>
      <c r="E227" s="111"/>
      <c r="F227" s="111"/>
      <c r="G227" s="111"/>
      <c r="H227" s="111"/>
      <c r="I227" s="187"/>
    </row>
    <row r="228" spans="1:9" s="200" customFormat="1">
      <c r="A228" s="168"/>
      <c r="E228" s="111"/>
      <c r="F228" s="111"/>
      <c r="G228" s="111"/>
      <c r="H228" s="111"/>
      <c r="I228" s="187"/>
    </row>
    <row r="229" spans="1:9" s="200" customFormat="1">
      <c r="A229" s="168"/>
      <c r="E229" s="111"/>
      <c r="F229" s="111"/>
      <c r="G229" s="111"/>
      <c r="H229" s="111"/>
      <c r="I229" s="187"/>
    </row>
    <row r="230" spans="1:9" s="200" customFormat="1">
      <c r="A230" s="168"/>
      <c r="E230" s="111"/>
      <c r="F230" s="111"/>
      <c r="G230" s="111"/>
      <c r="H230" s="111"/>
      <c r="I230" s="187"/>
    </row>
    <row r="231" spans="1:9" s="200" customFormat="1">
      <c r="A231" s="168"/>
      <c r="E231" s="111"/>
      <c r="F231" s="111"/>
      <c r="G231" s="111"/>
      <c r="H231" s="111"/>
      <c r="I231" s="187"/>
    </row>
    <row r="232" spans="1:9" s="200" customFormat="1">
      <c r="A232" s="168"/>
      <c r="E232" s="111"/>
      <c r="F232" s="111"/>
      <c r="G232" s="111"/>
      <c r="H232" s="111"/>
      <c r="I232" s="187"/>
    </row>
    <row r="233" spans="1:9" s="200" customFormat="1">
      <c r="A233" s="168"/>
      <c r="E233" s="111"/>
      <c r="F233" s="111"/>
      <c r="G233" s="111"/>
      <c r="H233" s="111"/>
      <c r="I233" s="187"/>
    </row>
    <row r="234" spans="1:9" s="200" customFormat="1">
      <c r="A234" s="168"/>
      <c r="E234" s="111"/>
      <c r="F234" s="111"/>
      <c r="G234" s="111"/>
      <c r="H234" s="111"/>
      <c r="I234" s="187"/>
    </row>
    <row r="235" spans="1:9" s="200" customFormat="1">
      <c r="A235" s="168"/>
      <c r="E235" s="111"/>
      <c r="F235" s="111"/>
      <c r="G235" s="111"/>
      <c r="H235" s="111"/>
      <c r="I235" s="187"/>
    </row>
    <row r="236" spans="1:9" s="200" customFormat="1">
      <c r="A236" s="168"/>
      <c r="E236" s="111"/>
      <c r="F236" s="111"/>
      <c r="G236" s="111"/>
      <c r="H236" s="111"/>
      <c r="I236" s="187"/>
    </row>
    <row r="237" spans="1:9" s="200" customFormat="1">
      <c r="A237" s="168"/>
      <c r="E237" s="111"/>
      <c r="F237" s="111"/>
      <c r="G237" s="111"/>
      <c r="H237" s="111"/>
      <c r="I237" s="187"/>
    </row>
    <row r="238" spans="1:9" s="200" customFormat="1">
      <c r="A238" s="168"/>
      <c r="E238" s="111"/>
      <c r="F238" s="111"/>
      <c r="G238" s="111"/>
      <c r="H238" s="111"/>
      <c r="I238" s="187"/>
    </row>
    <row r="239" spans="1:9" s="200" customFormat="1">
      <c r="A239" s="168"/>
      <c r="E239" s="111"/>
      <c r="F239" s="111"/>
      <c r="G239" s="111"/>
      <c r="H239" s="111"/>
      <c r="I239" s="187"/>
    </row>
    <row r="240" spans="1:9" s="200" customFormat="1">
      <c r="A240" s="168"/>
      <c r="E240" s="111"/>
      <c r="F240" s="111"/>
      <c r="G240" s="111"/>
      <c r="H240" s="111"/>
      <c r="I240" s="187"/>
    </row>
    <row r="241" spans="1:9" s="200" customFormat="1">
      <c r="A241" s="168"/>
      <c r="E241" s="111"/>
      <c r="F241" s="111"/>
      <c r="G241" s="111"/>
      <c r="H241" s="111"/>
      <c r="I241" s="187"/>
    </row>
    <row r="242" spans="1:9" s="200" customFormat="1">
      <c r="A242" s="168"/>
      <c r="E242" s="111"/>
      <c r="F242" s="111"/>
      <c r="G242" s="111"/>
      <c r="H242" s="111"/>
      <c r="I242" s="187"/>
    </row>
    <row r="243" spans="1:9" s="200" customFormat="1">
      <c r="A243" s="168"/>
      <c r="E243" s="111"/>
      <c r="F243" s="111"/>
      <c r="G243" s="111"/>
      <c r="H243" s="111"/>
      <c r="I243" s="187"/>
    </row>
    <row r="244" spans="1:9" s="200" customFormat="1">
      <c r="A244" s="168"/>
      <c r="E244" s="111"/>
      <c r="F244" s="111"/>
      <c r="G244" s="111"/>
      <c r="H244" s="111"/>
      <c r="I244" s="187"/>
    </row>
    <row r="245" spans="1:9" s="200" customFormat="1">
      <c r="A245" s="168"/>
      <c r="E245" s="111"/>
      <c r="F245" s="111"/>
      <c r="G245" s="111"/>
      <c r="H245" s="111"/>
      <c r="I245" s="187"/>
    </row>
    <row r="246" spans="1:9" s="200" customFormat="1">
      <c r="A246" s="168"/>
      <c r="E246" s="111"/>
      <c r="F246" s="111"/>
      <c r="G246" s="111"/>
      <c r="H246" s="111"/>
      <c r="I246" s="187"/>
    </row>
    <row r="247" spans="1:9" s="200" customFormat="1">
      <c r="A247" s="168"/>
      <c r="E247" s="111"/>
      <c r="F247" s="111"/>
      <c r="G247" s="111"/>
      <c r="H247" s="111"/>
      <c r="I247" s="187"/>
    </row>
    <row r="248" spans="1:9" s="200" customFormat="1">
      <c r="A248" s="168"/>
      <c r="E248" s="111"/>
      <c r="F248" s="111"/>
      <c r="G248" s="111"/>
      <c r="H248" s="111"/>
      <c r="I248" s="187"/>
    </row>
    <row r="249" spans="1:9" s="200" customFormat="1">
      <c r="A249" s="168"/>
      <c r="E249" s="111"/>
      <c r="F249" s="111"/>
      <c r="G249" s="111"/>
      <c r="H249" s="111"/>
      <c r="I249" s="187"/>
    </row>
    <row r="250" spans="1:9" s="200" customFormat="1">
      <c r="A250" s="168"/>
      <c r="E250" s="111"/>
      <c r="F250" s="111"/>
      <c r="G250" s="111"/>
      <c r="H250" s="111"/>
      <c r="I250" s="187"/>
    </row>
    <row r="251" spans="1:9" s="200" customFormat="1">
      <c r="A251" s="168"/>
      <c r="E251" s="111"/>
      <c r="F251" s="111"/>
      <c r="G251" s="111"/>
      <c r="H251" s="111"/>
      <c r="I251" s="187"/>
    </row>
  </sheetData>
  <mergeCells count="17">
    <mergeCell ref="A44:H44"/>
    <mergeCell ref="A2:H2"/>
    <mergeCell ref="A1:H1"/>
    <mergeCell ref="A4:A5"/>
    <mergeCell ref="B4:B5"/>
    <mergeCell ref="A7:H7"/>
    <mergeCell ref="E4:H4"/>
    <mergeCell ref="C4:D4"/>
    <mergeCell ref="C100:D100"/>
    <mergeCell ref="G100:H100"/>
    <mergeCell ref="C99:D99"/>
    <mergeCell ref="A78:H78"/>
    <mergeCell ref="A51:H51"/>
    <mergeCell ref="A69:H69"/>
    <mergeCell ref="C79:D79"/>
    <mergeCell ref="E79:H79"/>
    <mergeCell ref="G99:H99"/>
  </mergeCells>
  <phoneticPr fontId="5" type="noConversion"/>
  <pageMargins left="0.39370078740157483" right="0.39370078740157483" top="0.78740157480314965" bottom="0.39370078740157483" header="0.39370078740157483" footer="0.19685039370078741"/>
  <pageSetup paperSize="9" scale="70" orientation="landscape" verticalDpi="300" r:id="rId1"/>
  <headerFooter alignWithMargins="0"/>
  <rowBreaks count="1" manualBreakCount="1">
    <brk id="81" max="7" man="1"/>
  </rowBreaks>
  <ignoredErrors>
    <ignoredError sqref="B81:B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N325"/>
  <sheetViews>
    <sheetView view="pageBreakPreview" zoomScale="80" zoomScaleSheetLayoutView="80" workbookViewId="0">
      <selection activeCell="J17" sqref="J17"/>
    </sheetView>
  </sheetViews>
  <sheetFormatPr defaultRowHeight="18.75"/>
  <cols>
    <col min="1" max="1" width="9.140625" style="2"/>
    <col min="2" max="2" width="58" style="2" customWidth="1"/>
    <col min="3" max="3" width="13.42578125" style="205" customWidth="1"/>
    <col min="4" max="4" width="18.28515625" style="205" customWidth="1"/>
    <col min="5" max="5" width="18.5703125" style="205" customWidth="1"/>
    <col min="6" max="6" width="17.85546875" style="205" customWidth="1"/>
    <col min="7" max="7" width="18.28515625" style="2" customWidth="1"/>
    <col min="8" max="8" width="19.28515625" style="2" customWidth="1"/>
    <col min="9" max="9" width="21.28515625" style="205" customWidth="1"/>
    <col min="10" max="10" width="18" style="2" customWidth="1"/>
    <col min="11" max="11" width="17.28515625" style="2" customWidth="1"/>
    <col min="12" max="12" width="22.140625" style="2" customWidth="1"/>
    <col min="13" max="13" width="16.7109375" style="2" bestFit="1" customWidth="1"/>
    <col min="14" max="14" width="10.5703125" style="2" bestFit="1" customWidth="1"/>
    <col min="15" max="15" width="14.7109375" style="2" bestFit="1" customWidth="1"/>
    <col min="16" max="18" width="9.140625" style="2"/>
    <col min="19" max="19" width="11.5703125" style="2" bestFit="1" customWidth="1"/>
    <col min="20" max="20" width="9.140625" style="2"/>
    <col min="21" max="21" width="11.5703125" style="2" bestFit="1" customWidth="1"/>
    <col min="22" max="16384" width="9.140625" style="2"/>
  </cols>
  <sheetData>
    <row r="2" spans="1:13" ht="20.25">
      <c r="B2" s="242" t="s">
        <v>102</v>
      </c>
      <c r="C2" s="242"/>
      <c r="D2" s="242"/>
      <c r="E2" s="242"/>
      <c r="F2" s="242"/>
    </row>
    <row r="3" spans="1:13">
      <c r="B3" s="206"/>
      <c r="C3" s="3"/>
      <c r="D3" s="206"/>
      <c r="E3" s="206"/>
      <c r="F3" s="206"/>
      <c r="H3" s="2" t="s">
        <v>65</v>
      </c>
    </row>
    <row r="4" spans="1:13" ht="73.5" customHeight="1">
      <c r="A4" s="4" t="s">
        <v>76</v>
      </c>
      <c r="B4" s="4" t="s">
        <v>23</v>
      </c>
      <c r="C4" s="12" t="s">
        <v>5</v>
      </c>
      <c r="D4" s="12" t="s">
        <v>357</v>
      </c>
      <c r="E4" s="12" t="s">
        <v>358</v>
      </c>
      <c r="F4" s="12" t="s">
        <v>359</v>
      </c>
      <c r="G4" s="12" t="s">
        <v>110</v>
      </c>
      <c r="H4" s="12" t="s">
        <v>112</v>
      </c>
    </row>
    <row r="5" spans="1:13" ht="30.75" customHeight="1">
      <c r="A5" s="4">
        <v>1</v>
      </c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</row>
    <row r="6" spans="1:13" ht="30.75" customHeight="1">
      <c r="A6" s="245" t="s">
        <v>75</v>
      </c>
      <c r="B6" s="245"/>
      <c r="C6" s="12"/>
      <c r="D6" s="13">
        <f>SUM(D7,D10,D17,D19)</f>
        <v>116442.1</v>
      </c>
      <c r="E6" s="13">
        <f t="shared" ref="E6:F6" si="0">SUM(E7,E10,E17,E19)</f>
        <v>118352.9</v>
      </c>
      <c r="F6" s="13">
        <f t="shared" si="0"/>
        <v>143772.20000000001</v>
      </c>
      <c r="G6" s="203">
        <f>F6-E6</f>
        <v>25419.300000000017</v>
      </c>
      <c r="H6" s="214">
        <f>(F6/E6)*100</f>
        <v>121.47754723373912</v>
      </c>
      <c r="I6" s="121">
        <f>F6-D6</f>
        <v>27330.100000000006</v>
      </c>
      <c r="J6" s="20"/>
      <c r="K6" s="20"/>
      <c r="L6" s="20"/>
    </row>
    <row r="7" spans="1:13" ht="45" customHeight="1">
      <c r="A7" s="239" t="s">
        <v>74</v>
      </c>
      <c r="B7" s="239"/>
      <c r="C7" s="195">
        <v>1000</v>
      </c>
      <c r="D7" s="14">
        <f>SUM(D8:D9)</f>
        <v>93486.3</v>
      </c>
      <c r="E7" s="14">
        <f>SUM(E8:E9)</f>
        <v>102951.5</v>
      </c>
      <c r="F7" s="14">
        <f>SUM(F8:F9)</f>
        <v>118470</v>
      </c>
      <c r="G7" s="19">
        <f>F7-E7</f>
        <v>15518.5</v>
      </c>
      <c r="H7" s="19">
        <f>(F7/E7)*100</f>
        <v>115.0736026187088</v>
      </c>
      <c r="K7" s="20"/>
    </row>
    <row r="8" spans="1:13" ht="45" customHeight="1">
      <c r="A8" s="16">
        <v>1</v>
      </c>
      <c r="B8" s="17" t="s">
        <v>185</v>
      </c>
      <c r="C8" s="195"/>
      <c r="D8" s="18">
        <v>92357.1</v>
      </c>
      <c r="E8" s="18">
        <v>101750.8</v>
      </c>
      <c r="F8" s="18">
        <v>117515.7</v>
      </c>
      <c r="G8" s="15">
        <f>F8-E8</f>
        <v>15764.899999999994</v>
      </c>
      <c r="H8" s="15">
        <f>(F8/E8)*100</f>
        <v>115.49363739646272</v>
      </c>
      <c r="J8" s="20"/>
      <c r="L8" s="20"/>
      <c r="M8" s="20"/>
    </row>
    <row r="9" spans="1:13" ht="30" customHeight="1">
      <c r="A9" s="16">
        <v>2</v>
      </c>
      <c r="B9" s="17" t="s">
        <v>230</v>
      </c>
      <c r="C9" s="195"/>
      <c r="D9" s="18">
        <v>1129.2</v>
      </c>
      <c r="E9" s="18">
        <v>1200.7</v>
      </c>
      <c r="F9" s="18">
        <v>954.3</v>
      </c>
      <c r="G9" s="15">
        <f t="shared" ref="G9:G20" si="1">F9-E9</f>
        <v>-246.40000000000009</v>
      </c>
      <c r="H9" s="15">
        <f t="shared" ref="H9:H20" si="2">(F9/E9)*100</f>
        <v>79.478637461480801</v>
      </c>
      <c r="I9" s="121"/>
    </row>
    <row r="10" spans="1:13" ht="30.75" customHeight="1">
      <c r="A10" s="279" t="s">
        <v>35</v>
      </c>
      <c r="B10" s="279"/>
      <c r="C10" s="195">
        <v>1040</v>
      </c>
      <c r="D10" s="14">
        <f>SUM(D11:D16)</f>
        <v>18176.400000000001</v>
      </c>
      <c r="E10" s="14">
        <f>SUM(E11:E16)</f>
        <v>11490.9</v>
      </c>
      <c r="F10" s="14">
        <f>SUM(F11:F16)</f>
        <v>17830.7</v>
      </c>
      <c r="G10" s="19">
        <f t="shared" si="1"/>
        <v>6339.8000000000011</v>
      </c>
      <c r="H10" s="19">
        <f t="shared" si="2"/>
        <v>155.17235377559635</v>
      </c>
      <c r="I10" s="121"/>
      <c r="J10" s="54"/>
    </row>
    <row r="11" spans="1:13" ht="48" customHeight="1">
      <c r="A11" s="16">
        <v>1</v>
      </c>
      <c r="B11" s="17" t="s">
        <v>214</v>
      </c>
      <c r="C11" s="195"/>
      <c r="D11" s="18">
        <v>10738.7</v>
      </c>
      <c r="E11" s="18">
        <v>11418.9</v>
      </c>
      <c r="F11" s="18">
        <v>11771.8</v>
      </c>
      <c r="G11" s="15">
        <f t="shared" si="1"/>
        <v>352.89999999999964</v>
      </c>
      <c r="H11" s="15">
        <f t="shared" si="2"/>
        <v>103.0904903274396</v>
      </c>
      <c r="I11" s="121"/>
      <c r="J11" s="20"/>
    </row>
    <row r="12" spans="1:13" ht="48" customHeight="1">
      <c r="A12" s="16">
        <v>2</v>
      </c>
      <c r="B12" s="17" t="s">
        <v>215</v>
      </c>
      <c r="C12" s="195"/>
      <c r="D12" s="18">
        <v>1670.6</v>
      </c>
      <c r="E12" s="18"/>
      <c r="F12" s="18"/>
      <c r="G12" s="15">
        <f t="shared" si="1"/>
        <v>0</v>
      </c>
      <c r="H12" s="56" t="e">
        <f t="shared" si="2"/>
        <v>#DIV/0!</v>
      </c>
      <c r="J12" s="20"/>
    </row>
    <row r="13" spans="1:13" ht="45" customHeight="1">
      <c r="A13" s="16">
        <v>3</v>
      </c>
      <c r="B13" s="21" t="s">
        <v>270</v>
      </c>
      <c r="C13" s="195"/>
      <c r="D13" s="18"/>
      <c r="E13" s="18"/>
      <c r="F13" s="18">
        <v>19.5</v>
      </c>
      <c r="G13" s="15">
        <f t="shared" ref="G13" si="3">F13-E13</f>
        <v>19.5</v>
      </c>
      <c r="H13" s="56" t="e">
        <f t="shared" ref="H13" si="4">(F13/E13)*100</f>
        <v>#DIV/0!</v>
      </c>
      <c r="J13" s="20"/>
    </row>
    <row r="14" spans="1:13" ht="32.25" customHeight="1">
      <c r="A14" s="16">
        <v>4</v>
      </c>
      <c r="B14" s="17" t="s">
        <v>186</v>
      </c>
      <c r="C14" s="195"/>
      <c r="D14" s="18">
        <v>71</v>
      </c>
      <c r="E14" s="18">
        <v>72</v>
      </c>
      <c r="F14" s="18">
        <v>105.1</v>
      </c>
      <c r="G14" s="15">
        <f t="shared" si="1"/>
        <v>33.099999999999994</v>
      </c>
      <c r="H14" s="15">
        <f t="shared" si="2"/>
        <v>145.97222222222223</v>
      </c>
    </row>
    <row r="15" spans="1:13" ht="33" customHeight="1">
      <c r="A15" s="16">
        <v>5</v>
      </c>
      <c r="B15" s="17" t="s">
        <v>187</v>
      </c>
      <c r="C15" s="195"/>
      <c r="D15" s="18">
        <v>531.9</v>
      </c>
      <c r="E15" s="18"/>
      <c r="F15" s="18">
        <v>436.5</v>
      </c>
      <c r="G15" s="15">
        <f t="shared" si="1"/>
        <v>436.5</v>
      </c>
      <c r="H15" s="56" t="e">
        <f t="shared" si="2"/>
        <v>#DIV/0!</v>
      </c>
      <c r="J15" s="20"/>
    </row>
    <row r="16" spans="1:13" ht="30.75" customHeight="1">
      <c r="A16" s="16">
        <v>6</v>
      </c>
      <c r="B16" s="17" t="s">
        <v>188</v>
      </c>
      <c r="C16" s="195"/>
      <c r="D16" s="18">
        <v>5164.2</v>
      </c>
      <c r="E16" s="18"/>
      <c r="F16" s="18">
        <v>5497.8</v>
      </c>
      <c r="G16" s="15">
        <f t="shared" si="1"/>
        <v>5497.8</v>
      </c>
      <c r="H16" s="56" t="e">
        <f t="shared" si="2"/>
        <v>#DIV/0!</v>
      </c>
      <c r="I16" s="121"/>
      <c r="J16" s="20"/>
    </row>
    <row r="17" spans="1:11" ht="30.75" customHeight="1">
      <c r="A17" s="279" t="s">
        <v>77</v>
      </c>
      <c r="B17" s="279"/>
      <c r="C17" s="195">
        <v>1130</v>
      </c>
      <c r="D17" s="14">
        <f>D18</f>
        <v>276.5</v>
      </c>
      <c r="E17" s="14">
        <f>E18</f>
        <v>523.5</v>
      </c>
      <c r="F17" s="14">
        <f>F18</f>
        <v>1413.9</v>
      </c>
      <c r="G17" s="19">
        <f t="shared" si="1"/>
        <v>890.40000000000009</v>
      </c>
      <c r="H17" s="19">
        <f t="shared" si="2"/>
        <v>270.08595988538684</v>
      </c>
    </row>
    <row r="18" spans="1:11" ht="45" customHeight="1">
      <c r="A18" s="16">
        <v>1</v>
      </c>
      <c r="B18" s="21" t="s">
        <v>189</v>
      </c>
      <c r="C18" s="12"/>
      <c r="D18" s="18">
        <v>276.5</v>
      </c>
      <c r="E18" s="18">
        <v>523.5</v>
      </c>
      <c r="F18" s="18">
        <v>1413.9</v>
      </c>
      <c r="G18" s="15">
        <f t="shared" si="1"/>
        <v>890.40000000000009</v>
      </c>
      <c r="H18" s="15">
        <f t="shared" si="2"/>
        <v>270.08595988538684</v>
      </c>
    </row>
    <row r="19" spans="1:11" ht="30.75" customHeight="1">
      <c r="A19" s="279" t="s">
        <v>27</v>
      </c>
      <c r="B19" s="279"/>
      <c r="C19" s="195">
        <v>1150</v>
      </c>
      <c r="D19" s="14">
        <f>SUM(D20:D20)</f>
        <v>4502.8999999999996</v>
      </c>
      <c r="E19" s="14">
        <f>SUM(E20:E20)</f>
        <v>3387</v>
      </c>
      <c r="F19" s="14">
        <f>SUM(F20:F20)</f>
        <v>6057.6</v>
      </c>
      <c r="G19" s="19">
        <f t="shared" si="1"/>
        <v>2670.6000000000004</v>
      </c>
      <c r="H19" s="19">
        <f t="shared" si="2"/>
        <v>178.84853852967228</v>
      </c>
      <c r="I19" s="121"/>
      <c r="J19" s="20"/>
    </row>
    <row r="20" spans="1:11" ht="41.25" customHeight="1">
      <c r="A20" s="4">
        <v>2</v>
      </c>
      <c r="B20" s="17" t="s">
        <v>202</v>
      </c>
      <c r="C20" s="195"/>
      <c r="D20" s="18">
        <v>4502.8999999999996</v>
      </c>
      <c r="E20" s="18">
        <v>3387</v>
      </c>
      <c r="F20" s="18">
        <v>6057.6</v>
      </c>
      <c r="G20" s="15">
        <f t="shared" si="1"/>
        <v>2670.6000000000004</v>
      </c>
      <c r="H20" s="15">
        <f t="shared" si="2"/>
        <v>178.84853852967228</v>
      </c>
    </row>
    <row r="21" spans="1:11" ht="35.25" customHeight="1">
      <c r="A21" s="245" t="s">
        <v>78</v>
      </c>
      <c r="B21" s="245"/>
      <c r="C21" s="195"/>
      <c r="D21" s="14"/>
      <c r="E21" s="14"/>
      <c r="F21" s="14"/>
      <c r="G21" s="15"/>
      <c r="H21" s="15"/>
    </row>
    <row r="22" spans="1:11" ht="48" customHeight="1">
      <c r="A22" s="239" t="s">
        <v>79</v>
      </c>
      <c r="B22" s="239"/>
      <c r="C22" s="12"/>
      <c r="D22" s="14"/>
      <c r="E22" s="14"/>
      <c r="F22" s="14"/>
      <c r="G22" s="15"/>
      <c r="H22" s="15"/>
    </row>
    <row r="23" spans="1:11" ht="34.5" customHeight="1">
      <c r="A23" s="280" t="s">
        <v>80</v>
      </c>
      <c r="B23" s="280"/>
      <c r="C23" s="195">
        <v>1011</v>
      </c>
      <c r="D23" s="14">
        <f>SUM(D24:D31)</f>
        <v>20453.100000000002</v>
      </c>
      <c r="E23" s="14">
        <f>SUM(E24:E31)</f>
        <v>18819.5</v>
      </c>
      <c r="F23" s="14">
        <f>SUM(F24:F31)</f>
        <v>23658.000000000004</v>
      </c>
      <c r="G23" s="19">
        <f>F23-E23</f>
        <v>4838.5000000000036</v>
      </c>
      <c r="H23" s="19">
        <f>(F23/E23)*100</f>
        <v>125.71003480432532</v>
      </c>
      <c r="I23" s="121"/>
      <c r="J23" s="20"/>
      <c r="K23" s="36"/>
    </row>
    <row r="24" spans="1:11" ht="33.75" customHeight="1">
      <c r="A24" s="195"/>
      <c r="B24" s="17" t="s">
        <v>175</v>
      </c>
      <c r="C24" s="195"/>
      <c r="D24" s="18">
        <v>4455</v>
      </c>
      <c r="E24" s="117">
        <v>4125</v>
      </c>
      <c r="F24" s="18">
        <v>4353.7</v>
      </c>
      <c r="G24" s="15">
        <f t="shared" ref="G24" si="5">F24-E24</f>
        <v>228.69999999999982</v>
      </c>
      <c r="H24" s="15">
        <f t="shared" ref="H24" si="6">(F24/E24)*100</f>
        <v>105.54424242424243</v>
      </c>
      <c r="J24" s="20"/>
    </row>
    <row r="25" spans="1:11" ht="53.25" customHeight="1">
      <c r="A25" s="195"/>
      <c r="B25" s="17" t="s">
        <v>275</v>
      </c>
      <c r="C25" s="195"/>
      <c r="D25" s="18">
        <v>1441</v>
      </c>
      <c r="E25" s="117"/>
      <c r="F25" s="18"/>
      <c r="G25" s="15">
        <f t="shared" ref="G25:G87" si="7">F25-E25</f>
        <v>0</v>
      </c>
      <c r="H25" s="56" t="e">
        <f t="shared" ref="H25:H87" si="8">(F25/E25)*100</f>
        <v>#DIV/0!</v>
      </c>
      <c r="J25" s="20"/>
    </row>
    <row r="26" spans="1:11" ht="29.25" customHeight="1">
      <c r="A26" s="195"/>
      <c r="B26" s="17" t="s">
        <v>234</v>
      </c>
      <c r="C26" s="195"/>
      <c r="D26" s="18">
        <v>183</v>
      </c>
      <c r="E26" s="117"/>
      <c r="F26" s="18"/>
      <c r="G26" s="15">
        <f t="shared" si="7"/>
        <v>0</v>
      </c>
      <c r="H26" s="56" t="e">
        <f t="shared" si="8"/>
        <v>#DIV/0!</v>
      </c>
      <c r="J26" s="20"/>
    </row>
    <row r="27" spans="1:11" ht="32.25" customHeight="1">
      <c r="A27" s="195"/>
      <c r="B27" s="21" t="s">
        <v>190</v>
      </c>
      <c r="C27" s="195"/>
      <c r="D27" s="18">
        <v>12663.9</v>
      </c>
      <c r="E27" s="118">
        <v>12530</v>
      </c>
      <c r="F27" s="18">
        <v>17274.099999999999</v>
      </c>
      <c r="G27" s="15">
        <f t="shared" si="7"/>
        <v>4744.0999999999985</v>
      </c>
      <c r="H27" s="15">
        <f t="shared" si="8"/>
        <v>137.86193136472465</v>
      </c>
    </row>
    <row r="28" spans="1:11" ht="29.25" customHeight="1">
      <c r="A28" s="195"/>
      <c r="B28" s="17" t="s">
        <v>137</v>
      </c>
      <c r="C28" s="195"/>
      <c r="D28" s="18">
        <v>798.6</v>
      </c>
      <c r="E28" s="118">
        <v>915</v>
      </c>
      <c r="F28" s="18">
        <v>839.4</v>
      </c>
      <c r="G28" s="15">
        <f t="shared" si="7"/>
        <v>-75.600000000000023</v>
      </c>
      <c r="H28" s="15">
        <f t="shared" si="8"/>
        <v>91.737704918032776</v>
      </c>
    </row>
    <row r="29" spans="1:11" ht="31.5" customHeight="1">
      <c r="A29" s="195"/>
      <c r="B29" s="21" t="s">
        <v>172</v>
      </c>
      <c r="C29" s="195"/>
      <c r="D29" s="18">
        <v>225.4</v>
      </c>
      <c r="E29" s="118">
        <v>454.5</v>
      </c>
      <c r="F29" s="18">
        <v>313.39999999999998</v>
      </c>
      <c r="G29" s="15">
        <f t="shared" si="7"/>
        <v>-141.10000000000002</v>
      </c>
      <c r="H29" s="15">
        <f t="shared" si="8"/>
        <v>68.954895489548946</v>
      </c>
    </row>
    <row r="30" spans="1:11" ht="63" customHeight="1">
      <c r="A30" s="22"/>
      <c r="B30" s="17" t="s">
        <v>191</v>
      </c>
      <c r="C30" s="12"/>
      <c r="D30" s="18">
        <v>544</v>
      </c>
      <c r="E30" s="118">
        <v>575</v>
      </c>
      <c r="F30" s="18">
        <v>667.9</v>
      </c>
      <c r="G30" s="15">
        <f t="shared" si="7"/>
        <v>92.899999999999977</v>
      </c>
      <c r="H30" s="15">
        <f t="shared" si="8"/>
        <v>116.15652173913043</v>
      </c>
    </row>
    <row r="31" spans="1:11" ht="39" customHeight="1">
      <c r="A31" s="22"/>
      <c r="B31" s="17" t="s">
        <v>159</v>
      </c>
      <c r="C31" s="12"/>
      <c r="D31" s="18">
        <v>142.19999999999999</v>
      </c>
      <c r="E31" s="118">
        <v>220</v>
      </c>
      <c r="F31" s="18">
        <v>209.5</v>
      </c>
      <c r="G31" s="15">
        <f t="shared" si="7"/>
        <v>-10.5</v>
      </c>
      <c r="H31" s="15">
        <f t="shared" si="8"/>
        <v>95.227272727272734</v>
      </c>
    </row>
    <row r="32" spans="1:11" ht="35.25" customHeight="1">
      <c r="A32" s="280" t="s">
        <v>81</v>
      </c>
      <c r="B32" s="280"/>
      <c r="C32" s="195">
        <v>1015</v>
      </c>
      <c r="D32" s="14">
        <f>SUM(D33:D63)</f>
        <v>7267.8</v>
      </c>
      <c r="E32" s="281">
        <f>SUM(E33:E63)</f>
        <v>11466.5</v>
      </c>
      <c r="F32" s="14">
        <f>SUM(F33:F63)</f>
        <v>10173.5</v>
      </c>
      <c r="G32" s="19">
        <f t="shared" si="7"/>
        <v>-1293</v>
      </c>
      <c r="H32" s="19">
        <f t="shared" si="8"/>
        <v>88.723673309205083</v>
      </c>
      <c r="I32" s="34">
        <v>10173.5</v>
      </c>
      <c r="J32" s="20"/>
      <c r="K32" s="20"/>
    </row>
    <row r="33" spans="1:11" ht="31.5" customHeight="1">
      <c r="A33" s="195"/>
      <c r="B33" s="23" t="s">
        <v>143</v>
      </c>
      <c r="C33" s="195"/>
      <c r="D33" s="18">
        <v>59.3</v>
      </c>
      <c r="E33" s="18">
        <v>56.3</v>
      </c>
      <c r="F33" s="18">
        <v>48.9</v>
      </c>
      <c r="G33" s="15">
        <f t="shared" si="7"/>
        <v>-7.3999999999999986</v>
      </c>
      <c r="H33" s="15">
        <f t="shared" si="8"/>
        <v>86.856127886323279</v>
      </c>
      <c r="K33" s="20"/>
    </row>
    <row r="34" spans="1:11" ht="30" customHeight="1">
      <c r="A34" s="195"/>
      <c r="B34" s="17" t="s">
        <v>144</v>
      </c>
      <c r="C34" s="195"/>
      <c r="D34" s="18">
        <v>340.3</v>
      </c>
      <c r="E34" s="18">
        <v>511.5</v>
      </c>
      <c r="F34" s="18">
        <v>554.70000000000005</v>
      </c>
      <c r="G34" s="15">
        <f t="shared" si="7"/>
        <v>43.200000000000045</v>
      </c>
      <c r="H34" s="15">
        <f t="shared" si="8"/>
        <v>108.44574780058652</v>
      </c>
    </row>
    <row r="35" spans="1:11" ht="25.5" customHeight="1">
      <c r="A35" s="195"/>
      <c r="B35" s="17" t="s">
        <v>145</v>
      </c>
      <c r="C35" s="195"/>
      <c r="D35" s="18">
        <v>76.3</v>
      </c>
      <c r="E35" s="18">
        <v>67.5</v>
      </c>
      <c r="F35" s="18">
        <v>62.6</v>
      </c>
      <c r="G35" s="15">
        <f t="shared" si="7"/>
        <v>-4.8999999999999986</v>
      </c>
      <c r="H35" s="15">
        <f t="shared" si="8"/>
        <v>92.740740740740748</v>
      </c>
    </row>
    <row r="36" spans="1:11" ht="27.75" customHeight="1">
      <c r="A36" s="195"/>
      <c r="B36" s="17" t="s">
        <v>146</v>
      </c>
      <c r="C36" s="195"/>
      <c r="D36" s="18">
        <v>132.1</v>
      </c>
      <c r="E36" s="18">
        <v>1747.5</v>
      </c>
      <c r="F36" s="18">
        <v>290.60000000000002</v>
      </c>
      <c r="G36" s="15">
        <f t="shared" si="7"/>
        <v>-1456.9</v>
      </c>
      <c r="H36" s="15">
        <f t="shared" si="8"/>
        <v>16.629470672389129</v>
      </c>
    </row>
    <row r="37" spans="1:11" ht="27.75" customHeight="1">
      <c r="A37" s="195"/>
      <c r="B37" s="17" t="s">
        <v>259</v>
      </c>
      <c r="C37" s="195"/>
      <c r="D37" s="18"/>
      <c r="E37" s="18">
        <v>300</v>
      </c>
      <c r="F37" s="18"/>
      <c r="G37" s="15">
        <f t="shared" si="7"/>
        <v>-300</v>
      </c>
      <c r="H37" s="15">
        <f t="shared" si="8"/>
        <v>0</v>
      </c>
    </row>
    <row r="38" spans="1:11" ht="27.75" customHeight="1">
      <c r="A38" s="195"/>
      <c r="B38" s="17" t="s">
        <v>257</v>
      </c>
      <c r="C38" s="195"/>
      <c r="D38" s="18"/>
      <c r="E38" s="18"/>
      <c r="F38" s="18">
        <v>209.4</v>
      </c>
      <c r="G38" s="15">
        <f t="shared" si="7"/>
        <v>209.4</v>
      </c>
      <c r="H38" s="56" t="e">
        <f t="shared" si="8"/>
        <v>#DIV/0!</v>
      </c>
    </row>
    <row r="39" spans="1:11" ht="44.25" customHeight="1">
      <c r="A39" s="195"/>
      <c r="B39" s="17" t="s">
        <v>173</v>
      </c>
      <c r="C39" s="195"/>
      <c r="D39" s="18">
        <f>66.1+2.8</f>
        <v>68.899999999999991</v>
      </c>
      <c r="E39" s="18">
        <v>75</v>
      </c>
      <c r="F39" s="18">
        <v>233.6</v>
      </c>
      <c r="G39" s="15">
        <f t="shared" si="7"/>
        <v>158.6</v>
      </c>
      <c r="H39" s="15">
        <f t="shared" si="8"/>
        <v>311.46666666666664</v>
      </c>
    </row>
    <row r="40" spans="1:11" ht="44.25" customHeight="1">
      <c r="A40" s="195"/>
      <c r="B40" s="23" t="s">
        <v>147</v>
      </c>
      <c r="C40" s="195"/>
      <c r="D40" s="18">
        <v>234.3</v>
      </c>
      <c r="E40" s="18">
        <v>1129.7</v>
      </c>
      <c r="F40" s="18">
        <v>912.4</v>
      </c>
      <c r="G40" s="15">
        <f t="shared" si="7"/>
        <v>-217.30000000000007</v>
      </c>
      <c r="H40" s="15">
        <f t="shared" si="8"/>
        <v>80.764804815437714</v>
      </c>
    </row>
    <row r="41" spans="1:11" ht="28.5" customHeight="1">
      <c r="A41" s="24"/>
      <c r="B41" s="23" t="s">
        <v>148</v>
      </c>
      <c r="C41" s="12"/>
      <c r="D41" s="18">
        <v>59</v>
      </c>
      <c r="E41" s="18">
        <v>150</v>
      </c>
      <c r="F41" s="18">
        <v>96.4</v>
      </c>
      <c r="G41" s="15">
        <f t="shared" si="7"/>
        <v>-53.599999999999994</v>
      </c>
      <c r="H41" s="15">
        <f t="shared" si="8"/>
        <v>64.266666666666666</v>
      </c>
    </row>
    <row r="42" spans="1:11" ht="28.5" customHeight="1">
      <c r="A42" s="24"/>
      <c r="B42" s="23" t="s">
        <v>222</v>
      </c>
      <c r="C42" s="12"/>
      <c r="D42" s="18">
        <v>22.1</v>
      </c>
      <c r="E42" s="18">
        <v>27</v>
      </c>
      <c r="F42" s="18">
        <v>28.8</v>
      </c>
      <c r="G42" s="15">
        <f t="shared" si="7"/>
        <v>1.8000000000000007</v>
      </c>
      <c r="H42" s="15">
        <f t="shared" si="8"/>
        <v>106.66666666666667</v>
      </c>
    </row>
    <row r="43" spans="1:11" ht="27" customHeight="1">
      <c r="A43" s="24"/>
      <c r="B43" s="23" t="s">
        <v>160</v>
      </c>
      <c r="C43" s="12"/>
      <c r="D43" s="18">
        <v>2.2999999999999998</v>
      </c>
      <c r="E43" s="18">
        <v>3</v>
      </c>
      <c r="F43" s="18">
        <v>2.8</v>
      </c>
      <c r="G43" s="15">
        <f t="shared" si="7"/>
        <v>-0.20000000000000018</v>
      </c>
      <c r="H43" s="15">
        <f t="shared" si="8"/>
        <v>93.333333333333329</v>
      </c>
    </row>
    <row r="44" spans="1:11" ht="28.5" customHeight="1">
      <c r="A44" s="24"/>
      <c r="B44" s="17" t="s">
        <v>192</v>
      </c>
      <c r="C44" s="12"/>
      <c r="D44" s="18">
        <v>80.400000000000006</v>
      </c>
      <c r="E44" s="18">
        <v>99</v>
      </c>
      <c r="F44" s="18">
        <v>121.3</v>
      </c>
      <c r="G44" s="15">
        <f t="shared" si="7"/>
        <v>22.299999999999997</v>
      </c>
      <c r="H44" s="15">
        <f t="shared" si="8"/>
        <v>122.52525252525253</v>
      </c>
    </row>
    <row r="45" spans="1:11" ht="28.5" customHeight="1">
      <c r="A45" s="24"/>
      <c r="B45" s="17" t="s">
        <v>150</v>
      </c>
      <c r="C45" s="12"/>
      <c r="D45" s="18">
        <v>8.1999999999999993</v>
      </c>
      <c r="E45" s="18"/>
      <c r="F45" s="18">
        <v>6.4</v>
      </c>
      <c r="G45" s="15">
        <f t="shared" si="7"/>
        <v>6.4</v>
      </c>
      <c r="H45" s="56" t="e">
        <f t="shared" si="8"/>
        <v>#DIV/0!</v>
      </c>
    </row>
    <row r="46" spans="1:11" ht="39" customHeight="1">
      <c r="A46" s="24"/>
      <c r="B46" s="23" t="s">
        <v>162</v>
      </c>
      <c r="C46" s="12"/>
      <c r="D46" s="18">
        <v>33.299999999999997</v>
      </c>
      <c r="E46" s="18">
        <v>54</v>
      </c>
      <c r="F46" s="18">
        <v>88.9</v>
      </c>
      <c r="G46" s="15">
        <f t="shared" si="7"/>
        <v>34.900000000000006</v>
      </c>
      <c r="H46" s="15">
        <f t="shared" si="8"/>
        <v>164.62962962962965</v>
      </c>
    </row>
    <row r="47" spans="1:11" ht="45.75" customHeight="1">
      <c r="A47" s="24"/>
      <c r="B47" s="23" t="s">
        <v>164</v>
      </c>
      <c r="C47" s="12"/>
      <c r="D47" s="18">
        <v>36</v>
      </c>
      <c r="E47" s="18">
        <v>148.5</v>
      </c>
      <c r="F47" s="18">
        <v>80.5</v>
      </c>
      <c r="G47" s="15">
        <f t="shared" si="7"/>
        <v>-68</v>
      </c>
      <c r="H47" s="15">
        <f t="shared" si="8"/>
        <v>54.208754208754208</v>
      </c>
    </row>
    <row r="48" spans="1:11" ht="48" customHeight="1">
      <c r="A48" s="24"/>
      <c r="B48" s="23" t="s">
        <v>276</v>
      </c>
      <c r="C48" s="12"/>
      <c r="D48" s="18">
        <v>0.8</v>
      </c>
      <c r="E48" s="18">
        <v>10</v>
      </c>
      <c r="F48" s="18">
        <v>5.7</v>
      </c>
      <c r="G48" s="15">
        <f t="shared" si="7"/>
        <v>-4.3</v>
      </c>
      <c r="H48" s="15">
        <f t="shared" si="8"/>
        <v>57.000000000000007</v>
      </c>
    </row>
    <row r="49" spans="1:14" ht="27.75" customHeight="1">
      <c r="A49" s="24"/>
      <c r="B49" s="25" t="s">
        <v>193</v>
      </c>
      <c r="C49" s="12"/>
      <c r="D49" s="18">
        <v>1244.3</v>
      </c>
      <c r="E49" s="18">
        <v>420</v>
      </c>
      <c r="F49" s="18">
        <v>404.1</v>
      </c>
      <c r="G49" s="15">
        <f t="shared" si="7"/>
        <v>-15.899999999999977</v>
      </c>
      <c r="H49" s="15">
        <f t="shared" si="8"/>
        <v>96.214285714285722</v>
      </c>
      <c r="N49" s="20"/>
    </row>
    <row r="50" spans="1:14" ht="30.75" customHeight="1">
      <c r="A50" s="24"/>
      <c r="B50" s="17" t="s">
        <v>205</v>
      </c>
      <c r="C50" s="12"/>
      <c r="D50" s="18">
        <v>29.9</v>
      </c>
      <c r="E50" s="18">
        <v>37.5</v>
      </c>
      <c r="F50" s="18">
        <v>27.7</v>
      </c>
      <c r="G50" s="15">
        <f t="shared" si="7"/>
        <v>-9.8000000000000007</v>
      </c>
      <c r="H50" s="15">
        <f t="shared" si="8"/>
        <v>73.866666666666674</v>
      </c>
    </row>
    <row r="51" spans="1:14" ht="30" customHeight="1">
      <c r="A51" s="24"/>
      <c r="B51" s="23" t="s">
        <v>166</v>
      </c>
      <c r="C51" s="12"/>
      <c r="D51" s="18">
        <v>3403.4</v>
      </c>
      <c r="E51" s="18">
        <v>4694.7</v>
      </c>
      <c r="F51" s="18">
        <v>4161.8999999999996</v>
      </c>
      <c r="G51" s="15">
        <f t="shared" si="7"/>
        <v>-532.80000000000018</v>
      </c>
      <c r="H51" s="15">
        <f t="shared" si="8"/>
        <v>88.651032014825233</v>
      </c>
    </row>
    <row r="52" spans="1:14" ht="31.5" customHeight="1">
      <c r="A52" s="24"/>
      <c r="B52" s="26" t="s">
        <v>167</v>
      </c>
      <c r="C52" s="12"/>
      <c r="D52" s="18">
        <v>292.10000000000002</v>
      </c>
      <c r="E52" s="18">
        <v>333.6</v>
      </c>
      <c r="F52" s="18">
        <v>507.4</v>
      </c>
      <c r="G52" s="15">
        <f t="shared" si="7"/>
        <v>173.79999999999995</v>
      </c>
      <c r="H52" s="15">
        <f t="shared" si="8"/>
        <v>152.09832134292566</v>
      </c>
      <c r="K52" s="32"/>
    </row>
    <row r="53" spans="1:14" ht="32.25" customHeight="1">
      <c r="A53" s="24"/>
      <c r="B53" s="26" t="s">
        <v>168</v>
      </c>
      <c r="C53" s="12"/>
      <c r="D53" s="18">
        <v>920.4</v>
      </c>
      <c r="E53" s="18">
        <v>1406.4</v>
      </c>
      <c r="F53" s="18">
        <v>2037.3</v>
      </c>
      <c r="G53" s="15">
        <f t="shared" si="7"/>
        <v>630.89999999999986</v>
      </c>
      <c r="H53" s="15">
        <f t="shared" si="8"/>
        <v>144.85921501706483</v>
      </c>
      <c r="K53" s="32"/>
    </row>
    <row r="54" spans="1:14" ht="32.25" customHeight="1">
      <c r="A54" s="24"/>
      <c r="B54" s="26" t="s">
        <v>250</v>
      </c>
      <c r="C54" s="12"/>
      <c r="D54" s="18"/>
      <c r="E54" s="18">
        <v>7.3</v>
      </c>
      <c r="F54" s="18"/>
      <c r="G54" s="15">
        <f t="shared" si="7"/>
        <v>-7.3</v>
      </c>
      <c r="H54" s="15">
        <f t="shared" si="8"/>
        <v>0</v>
      </c>
      <c r="K54" s="32"/>
    </row>
    <row r="55" spans="1:14" ht="27.75" customHeight="1">
      <c r="A55" s="24"/>
      <c r="B55" s="26" t="s">
        <v>169</v>
      </c>
      <c r="C55" s="12"/>
      <c r="D55" s="18">
        <v>153.30000000000001</v>
      </c>
      <c r="E55" s="18">
        <v>157.9</v>
      </c>
      <c r="F55" s="18">
        <v>206.1</v>
      </c>
      <c r="G55" s="15">
        <f t="shared" si="7"/>
        <v>48.199999999999989</v>
      </c>
      <c r="H55" s="15">
        <f t="shared" si="8"/>
        <v>130.5256491450285</v>
      </c>
      <c r="K55" s="32"/>
    </row>
    <row r="56" spans="1:14" ht="43.5" customHeight="1">
      <c r="A56" s="24"/>
      <c r="B56" s="21" t="s">
        <v>277</v>
      </c>
      <c r="C56" s="12"/>
      <c r="D56" s="18">
        <v>13.6</v>
      </c>
      <c r="E56" s="18"/>
      <c r="F56" s="18"/>
      <c r="G56" s="15">
        <f t="shared" si="7"/>
        <v>0</v>
      </c>
      <c r="H56" s="56" t="e">
        <f t="shared" si="8"/>
        <v>#DIV/0!</v>
      </c>
      <c r="K56" s="32"/>
    </row>
    <row r="57" spans="1:14" ht="43.5" customHeight="1">
      <c r="A57" s="24"/>
      <c r="B57" s="21" t="s">
        <v>365</v>
      </c>
      <c r="C57" s="12"/>
      <c r="D57" s="18">
        <v>26.7</v>
      </c>
      <c r="E57" s="18"/>
      <c r="F57" s="18"/>
      <c r="G57" s="15">
        <f t="shared" si="7"/>
        <v>0</v>
      </c>
      <c r="H57" s="56" t="e">
        <f t="shared" si="8"/>
        <v>#DIV/0!</v>
      </c>
      <c r="K57" s="32"/>
    </row>
    <row r="58" spans="1:14" ht="33.75" customHeight="1">
      <c r="A58" s="24"/>
      <c r="B58" s="21" t="s">
        <v>225</v>
      </c>
      <c r="C58" s="12"/>
      <c r="D58" s="18">
        <v>1.5</v>
      </c>
      <c r="E58" s="18"/>
      <c r="F58" s="18"/>
      <c r="G58" s="15">
        <f t="shared" si="7"/>
        <v>0</v>
      </c>
      <c r="H58" s="56" t="e">
        <f t="shared" si="8"/>
        <v>#DIV/0!</v>
      </c>
      <c r="K58" s="32"/>
    </row>
    <row r="59" spans="1:14" ht="33.75" customHeight="1">
      <c r="A59" s="24"/>
      <c r="B59" s="21" t="s">
        <v>484</v>
      </c>
      <c r="C59" s="12"/>
      <c r="D59" s="18"/>
      <c r="E59" s="18"/>
      <c r="F59" s="18">
        <v>5.6</v>
      </c>
      <c r="G59" s="15">
        <f t="shared" si="7"/>
        <v>5.6</v>
      </c>
      <c r="H59" s="56" t="e">
        <f t="shared" si="8"/>
        <v>#DIV/0!</v>
      </c>
      <c r="K59" s="32"/>
    </row>
    <row r="60" spans="1:14" ht="33" customHeight="1">
      <c r="A60" s="24"/>
      <c r="B60" s="17" t="s">
        <v>206</v>
      </c>
      <c r="C60" s="12"/>
      <c r="D60" s="18">
        <v>17.2</v>
      </c>
      <c r="E60" s="18"/>
      <c r="F60" s="18">
        <v>56.5</v>
      </c>
      <c r="G60" s="15">
        <f t="shared" si="7"/>
        <v>56.5</v>
      </c>
      <c r="H60" s="56" t="e">
        <f t="shared" si="8"/>
        <v>#DIV/0!</v>
      </c>
      <c r="K60" s="32"/>
      <c r="L60" s="20"/>
    </row>
    <row r="61" spans="1:14" ht="31.5" customHeight="1">
      <c r="A61" s="24"/>
      <c r="B61" s="26" t="s">
        <v>208</v>
      </c>
      <c r="C61" s="12"/>
      <c r="D61" s="18">
        <v>4.5</v>
      </c>
      <c r="E61" s="18">
        <v>6</v>
      </c>
      <c r="F61" s="18">
        <v>2.9</v>
      </c>
      <c r="G61" s="15">
        <f t="shared" si="7"/>
        <v>-3.1</v>
      </c>
      <c r="H61" s="15">
        <f t="shared" si="8"/>
        <v>48.333333333333336</v>
      </c>
    </row>
    <row r="62" spans="1:14" ht="31.5" customHeight="1">
      <c r="A62" s="24"/>
      <c r="B62" s="26" t="s">
        <v>340</v>
      </c>
      <c r="C62" s="12"/>
      <c r="D62" s="18"/>
      <c r="E62" s="18">
        <v>1.5</v>
      </c>
      <c r="F62" s="18">
        <v>5.7</v>
      </c>
      <c r="G62" s="15">
        <f t="shared" si="7"/>
        <v>4.2</v>
      </c>
      <c r="H62" s="15">
        <f t="shared" si="8"/>
        <v>380</v>
      </c>
    </row>
    <row r="63" spans="1:14" ht="31.5" customHeight="1">
      <c r="A63" s="24"/>
      <c r="B63" s="26" t="s">
        <v>246</v>
      </c>
      <c r="C63" s="12"/>
      <c r="D63" s="18">
        <v>7.6</v>
      </c>
      <c r="E63" s="18">
        <v>22.6</v>
      </c>
      <c r="F63" s="18">
        <v>15.3</v>
      </c>
      <c r="G63" s="15">
        <f t="shared" si="7"/>
        <v>-7.3000000000000007</v>
      </c>
      <c r="H63" s="15">
        <f t="shared" si="8"/>
        <v>67.699115044247776</v>
      </c>
    </row>
    <row r="64" spans="1:14" s="5" customFormat="1" ht="39" customHeight="1">
      <c r="A64" s="239" t="s">
        <v>82</v>
      </c>
      <c r="B64" s="239"/>
      <c r="C64" s="27"/>
      <c r="D64" s="14"/>
      <c r="E64" s="14"/>
      <c r="F64" s="14"/>
      <c r="G64" s="15"/>
      <c r="H64" s="15"/>
      <c r="I64" s="83"/>
    </row>
    <row r="65" spans="1:13" s="5" customFormat="1" ht="32.25" customHeight="1">
      <c r="A65" s="280" t="s">
        <v>80</v>
      </c>
      <c r="B65" s="280"/>
      <c r="C65" s="195">
        <v>1021</v>
      </c>
      <c r="D65" s="14">
        <f>SUM(D66:D68)</f>
        <v>179.2</v>
      </c>
      <c r="E65" s="14">
        <f>SUM(E66:E68)</f>
        <v>11.3</v>
      </c>
      <c r="F65" s="14">
        <f>SUM(F66:F68)</f>
        <v>42.2</v>
      </c>
      <c r="G65" s="15">
        <f t="shared" si="7"/>
        <v>30.900000000000002</v>
      </c>
      <c r="H65" s="15">
        <f t="shared" si="8"/>
        <v>373.45132743362831</v>
      </c>
      <c r="I65" s="83"/>
    </row>
    <row r="66" spans="1:13" s="5" customFormat="1" ht="63" customHeight="1">
      <c r="A66" s="195"/>
      <c r="B66" s="17" t="s">
        <v>191</v>
      </c>
      <c r="C66" s="195"/>
      <c r="D66" s="18">
        <v>98.3</v>
      </c>
      <c r="E66" s="18">
        <v>11.3</v>
      </c>
      <c r="F66" s="18"/>
      <c r="G66" s="15">
        <f t="shared" si="7"/>
        <v>-11.3</v>
      </c>
      <c r="H66" s="15">
        <f t="shared" si="8"/>
        <v>0</v>
      </c>
      <c r="I66" s="83"/>
      <c r="K66" s="28"/>
    </row>
    <row r="67" spans="1:13" s="5" customFormat="1" ht="35.25" customHeight="1">
      <c r="A67" s="195"/>
      <c r="B67" s="17" t="s">
        <v>172</v>
      </c>
      <c r="C67" s="195"/>
      <c r="D67" s="18">
        <v>15.5</v>
      </c>
      <c r="E67" s="18"/>
      <c r="F67" s="18">
        <v>42.2</v>
      </c>
      <c r="G67" s="15">
        <f t="shared" si="7"/>
        <v>42.2</v>
      </c>
      <c r="H67" s="56" t="e">
        <f t="shared" si="8"/>
        <v>#DIV/0!</v>
      </c>
      <c r="I67" s="83"/>
      <c r="K67" s="28"/>
    </row>
    <row r="68" spans="1:13" s="5" customFormat="1" ht="39.75" customHeight="1">
      <c r="A68" s="195"/>
      <c r="B68" s="17" t="s">
        <v>159</v>
      </c>
      <c r="C68" s="195"/>
      <c r="D68" s="18">
        <v>65.400000000000006</v>
      </c>
      <c r="E68" s="18"/>
      <c r="F68" s="18"/>
      <c r="G68" s="15">
        <f t="shared" si="7"/>
        <v>0</v>
      </c>
      <c r="H68" s="223" t="e">
        <f t="shared" si="8"/>
        <v>#DIV/0!</v>
      </c>
      <c r="I68" s="83"/>
    </row>
    <row r="69" spans="1:13" s="5" customFormat="1" ht="31.5" customHeight="1">
      <c r="A69" s="280" t="s">
        <v>83</v>
      </c>
      <c r="B69" s="280"/>
      <c r="C69" s="27">
        <v>1025</v>
      </c>
      <c r="D69" s="14">
        <f>SUM(D70:D90)</f>
        <v>695.50000000000011</v>
      </c>
      <c r="E69" s="281">
        <f>SUM(E70:E90)</f>
        <v>740.40000000000009</v>
      </c>
      <c r="F69" s="14">
        <f>SUM(F70:F90)</f>
        <v>1051.5999999999999</v>
      </c>
      <c r="G69" s="15">
        <f t="shared" si="7"/>
        <v>311.19999999999982</v>
      </c>
      <c r="H69" s="15">
        <f t="shared" si="8"/>
        <v>142.03133441383034</v>
      </c>
      <c r="I69" s="83"/>
      <c r="J69" s="28"/>
    </row>
    <row r="70" spans="1:13" s="5" customFormat="1" ht="31.5" customHeight="1">
      <c r="A70" s="195"/>
      <c r="B70" s="17" t="s">
        <v>150</v>
      </c>
      <c r="C70" s="27"/>
      <c r="D70" s="18">
        <v>73.900000000000006</v>
      </c>
      <c r="E70" s="18">
        <v>135</v>
      </c>
      <c r="F70" s="18">
        <v>121.7</v>
      </c>
      <c r="G70" s="15">
        <f t="shared" si="7"/>
        <v>-13.299999999999997</v>
      </c>
      <c r="H70" s="15">
        <f t="shared" si="8"/>
        <v>90.148148148148152</v>
      </c>
      <c r="I70" s="83"/>
      <c r="J70" s="28"/>
    </row>
    <row r="71" spans="1:13" s="5" customFormat="1" ht="31.5" customHeight="1">
      <c r="A71" s="195"/>
      <c r="B71" s="17" t="s">
        <v>143</v>
      </c>
      <c r="C71" s="27"/>
      <c r="D71" s="18">
        <v>4.2</v>
      </c>
      <c r="E71" s="18"/>
      <c r="F71" s="18"/>
      <c r="G71" s="15">
        <f t="shared" si="7"/>
        <v>0</v>
      </c>
      <c r="H71" s="56" t="e">
        <f t="shared" si="8"/>
        <v>#DIV/0!</v>
      </c>
      <c r="I71" s="83"/>
      <c r="J71" s="28"/>
    </row>
    <row r="72" spans="1:13" s="5" customFormat="1" ht="31.5" customHeight="1">
      <c r="A72" s="195"/>
      <c r="B72" s="17" t="s">
        <v>155</v>
      </c>
      <c r="C72" s="27"/>
      <c r="D72" s="18">
        <v>32.299999999999997</v>
      </c>
      <c r="E72" s="18">
        <v>4.5</v>
      </c>
      <c r="F72" s="18">
        <f>58.1+47.6</f>
        <v>105.7</v>
      </c>
      <c r="G72" s="15">
        <f t="shared" si="7"/>
        <v>101.2</v>
      </c>
      <c r="H72" s="15">
        <f t="shared" si="8"/>
        <v>2348.8888888888891</v>
      </c>
      <c r="I72" s="83"/>
      <c r="M72" s="28"/>
    </row>
    <row r="73" spans="1:13" s="5" customFormat="1" ht="52.5" customHeight="1">
      <c r="A73" s="195"/>
      <c r="B73" s="17" t="s">
        <v>164</v>
      </c>
      <c r="C73" s="27"/>
      <c r="D73" s="18">
        <v>62.8</v>
      </c>
      <c r="E73" s="18">
        <v>70</v>
      </c>
      <c r="F73" s="18">
        <v>127.5</v>
      </c>
      <c r="G73" s="15">
        <f t="shared" si="7"/>
        <v>57.5</v>
      </c>
      <c r="H73" s="15">
        <f t="shared" si="8"/>
        <v>182.14285714285714</v>
      </c>
      <c r="I73" s="83"/>
    </row>
    <row r="74" spans="1:13" s="5" customFormat="1" ht="39.75" customHeight="1">
      <c r="A74" s="195"/>
      <c r="B74" s="17" t="s">
        <v>162</v>
      </c>
      <c r="C74" s="27"/>
      <c r="D74" s="18">
        <v>4.5999999999999996</v>
      </c>
      <c r="E74" s="18">
        <v>26</v>
      </c>
      <c r="F74" s="18">
        <v>45.2</v>
      </c>
      <c r="G74" s="15">
        <f t="shared" si="7"/>
        <v>19.200000000000003</v>
      </c>
      <c r="H74" s="15">
        <f t="shared" si="8"/>
        <v>173.84615384615384</v>
      </c>
      <c r="I74" s="83"/>
    </row>
    <row r="75" spans="1:13" s="5" customFormat="1" ht="42" customHeight="1">
      <c r="A75" s="195"/>
      <c r="B75" s="17" t="s">
        <v>173</v>
      </c>
      <c r="C75" s="27"/>
      <c r="D75" s="18">
        <v>9</v>
      </c>
      <c r="E75" s="18"/>
      <c r="F75" s="18"/>
      <c r="G75" s="15">
        <f t="shared" si="7"/>
        <v>0</v>
      </c>
      <c r="H75" s="56" t="e">
        <f t="shared" si="8"/>
        <v>#DIV/0!</v>
      </c>
      <c r="I75" s="83"/>
    </row>
    <row r="76" spans="1:13" s="5" customFormat="1" ht="28.5" customHeight="1">
      <c r="A76" s="195"/>
      <c r="B76" s="17" t="s">
        <v>183</v>
      </c>
      <c r="C76" s="27"/>
      <c r="D76" s="18">
        <v>7.3</v>
      </c>
      <c r="E76" s="18">
        <v>6.3</v>
      </c>
      <c r="F76" s="18">
        <v>12.2</v>
      </c>
      <c r="G76" s="15">
        <f t="shared" si="7"/>
        <v>5.8999999999999995</v>
      </c>
      <c r="H76" s="15">
        <f t="shared" si="8"/>
        <v>193.65079365079364</v>
      </c>
      <c r="I76" s="83"/>
    </row>
    <row r="77" spans="1:13" s="5" customFormat="1" ht="27" customHeight="1">
      <c r="A77" s="195"/>
      <c r="B77" s="17" t="s">
        <v>166</v>
      </c>
      <c r="C77" s="27"/>
      <c r="D77" s="18">
        <v>44.5</v>
      </c>
      <c r="E77" s="18">
        <v>105.4</v>
      </c>
      <c r="F77" s="18">
        <v>203.4</v>
      </c>
      <c r="G77" s="15">
        <f t="shared" si="7"/>
        <v>98</v>
      </c>
      <c r="H77" s="15">
        <f t="shared" si="8"/>
        <v>192.97912713472485</v>
      </c>
      <c r="I77" s="83"/>
    </row>
    <row r="78" spans="1:13" s="5" customFormat="1" ht="28.5" customHeight="1">
      <c r="A78" s="195"/>
      <c r="B78" s="17" t="s">
        <v>167</v>
      </c>
      <c r="C78" s="27"/>
      <c r="D78" s="18">
        <v>5.3</v>
      </c>
      <c r="E78" s="18">
        <v>7.3</v>
      </c>
      <c r="F78" s="18">
        <v>8.3000000000000007</v>
      </c>
      <c r="G78" s="15">
        <f t="shared" si="7"/>
        <v>1.0000000000000009</v>
      </c>
      <c r="H78" s="15">
        <f t="shared" si="8"/>
        <v>113.69863013698631</v>
      </c>
      <c r="I78" s="83"/>
    </row>
    <row r="79" spans="1:13" s="5" customFormat="1" ht="30" customHeight="1">
      <c r="A79" s="195"/>
      <c r="B79" s="17" t="s">
        <v>168</v>
      </c>
      <c r="C79" s="27"/>
      <c r="D79" s="18">
        <v>92.8</v>
      </c>
      <c r="E79" s="18">
        <v>31.3</v>
      </c>
      <c r="F79" s="18">
        <v>45.5</v>
      </c>
      <c r="G79" s="15">
        <f t="shared" si="7"/>
        <v>14.2</v>
      </c>
      <c r="H79" s="15">
        <f t="shared" si="8"/>
        <v>145.36741214057508</v>
      </c>
      <c r="I79" s="83"/>
    </row>
    <row r="80" spans="1:13" s="5" customFormat="1" ht="27" customHeight="1">
      <c r="A80" s="195"/>
      <c r="B80" s="17" t="s">
        <v>169</v>
      </c>
      <c r="C80" s="27"/>
      <c r="D80" s="18">
        <v>2.6</v>
      </c>
      <c r="E80" s="18">
        <v>3.6</v>
      </c>
      <c r="F80" s="18">
        <v>2.8</v>
      </c>
      <c r="G80" s="15">
        <f t="shared" si="7"/>
        <v>-0.80000000000000027</v>
      </c>
      <c r="H80" s="15">
        <f t="shared" si="8"/>
        <v>77.777777777777771</v>
      </c>
      <c r="I80" s="83"/>
    </row>
    <row r="81" spans="1:11" s="5" customFormat="1" ht="27" customHeight="1">
      <c r="A81" s="195"/>
      <c r="B81" s="17" t="s">
        <v>251</v>
      </c>
      <c r="C81" s="27"/>
      <c r="D81" s="18">
        <v>11.2</v>
      </c>
      <c r="E81" s="18">
        <v>6</v>
      </c>
      <c r="F81" s="18"/>
      <c r="G81" s="15">
        <f t="shared" si="7"/>
        <v>-6</v>
      </c>
      <c r="H81" s="15">
        <f t="shared" si="8"/>
        <v>0</v>
      </c>
      <c r="I81" s="83"/>
    </row>
    <row r="82" spans="1:11" s="5" customFormat="1" ht="27" customHeight="1">
      <c r="A82" s="195"/>
      <c r="B82" s="17" t="s">
        <v>342</v>
      </c>
      <c r="C82" s="27"/>
      <c r="D82" s="18"/>
      <c r="E82" s="18"/>
      <c r="F82" s="18">
        <v>39.799999999999997</v>
      </c>
      <c r="G82" s="15">
        <f t="shared" si="7"/>
        <v>39.799999999999997</v>
      </c>
      <c r="H82" s="56" t="e">
        <f t="shared" si="8"/>
        <v>#DIV/0!</v>
      </c>
      <c r="I82" s="83"/>
    </row>
    <row r="83" spans="1:11" s="5" customFormat="1" ht="27" customHeight="1">
      <c r="A83" s="195"/>
      <c r="B83" s="17" t="s">
        <v>242</v>
      </c>
      <c r="C83" s="27"/>
      <c r="D83" s="18">
        <v>12.3</v>
      </c>
      <c r="E83" s="18"/>
      <c r="F83" s="18">
        <v>10.5</v>
      </c>
      <c r="G83" s="15">
        <f t="shared" si="7"/>
        <v>10.5</v>
      </c>
      <c r="H83" s="56" t="e">
        <f t="shared" si="8"/>
        <v>#DIV/0!</v>
      </c>
      <c r="I83" s="83"/>
    </row>
    <row r="84" spans="1:11" s="5" customFormat="1" ht="31.5" customHeight="1">
      <c r="A84" s="195"/>
      <c r="B84" s="17" t="s">
        <v>165</v>
      </c>
      <c r="C84" s="27"/>
      <c r="D84" s="18">
        <v>4.0999999999999996</v>
      </c>
      <c r="E84" s="18"/>
      <c r="F84" s="18">
        <v>8.8000000000000007</v>
      </c>
      <c r="G84" s="15">
        <f t="shared" si="7"/>
        <v>8.8000000000000007</v>
      </c>
      <c r="H84" s="56" t="e">
        <f t="shared" si="8"/>
        <v>#DIV/0!</v>
      </c>
      <c r="I84" s="83"/>
    </row>
    <row r="85" spans="1:11" s="5" customFormat="1" ht="27" customHeight="1">
      <c r="A85" s="195"/>
      <c r="B85" s="17" t="s">
        <v>219</v>
      </c>
      <c r="C85" s="27"/>
      <c r="D85" s="18">
        <v>297</v>
      </c>
      <c r="E85" s="18">
        <v>315</v>
      </c>
      <c r="F85" s="18">
        <v>198</v>
      </c>
      <c r="G85" s="15">
        <f t="shared" si="7"/>
        <v>-117</v>
      </c>
      <c r="H85" s="15">
        <f t="shared" si="8"/>
        <v>62.857142857142854</v>
      </c>
      <c r="I85" s="83"/>
    </row>
    <row r="86" spans="1:11" s="5" customFormat="1" ht="28.5" customHeight="1">
      <c r="A86" s="195"/>
      <c r="B86" s="17" t="s">
        <v>170</v>
      </c>
      <c r="C86" s="27"/>
      <c r="D86" s="18">
        <v>5</v>
      </c>
      <c r="E86" s="18"/>
      <c r="F86" s="18"/>
      <c r="G86" s="15">
        <f t="shared" si="7"/>
        <v>0</v>
      </c>
      <c r="H86" s="56" t="e">
        <f t="shared" si="8"/>
        <v>#DIV/0!</v>
      </c>
      <c r="I86" s="83"/>
    </row>
    <row r="87" spans="1:11" s="5" customFormat="1" ht="39" customHeight="1">
      <c r="A87" s="195"/>
      <c r="B87" s="17" t="s">
        <v>341</v>
      </c>
      <c r="C87" s="27"/>
      <c r="D87" s="18">
        <v>16.2</v>
      </c>
      <c r="E87" s="18">
        <v>30</v>
      </c>
      <c r="F87" s="18">
        <v>23.1</v>
      </c>
      <c r="G87" s="15">
        <f t="shared" si="7"/>
        <v>-6.8999999999999986</v>
      </c>
      <c r="H87" s="15">
        <f t="shared" si="8"/>
        <v>77</v>
      </c>
      <c r="I87" s="83"/>
    </row>
    <row r="88" spans="1:11" s="5" customFormat="1" ht="33.75" customHeight="1">
      <c r="A88" s="195"/>
      <c r="B88" s="17" t="s">
        <v>485</v>
      </c>
      <c r="C88" s="27"/>
      <c r="D88" s="18"/>
      <c r="E88" s="18"/>
      <c r="F88" s="18">
        <v>3.6</v>
      </c>
      <c r="G88" s="15">
        <f t="shared" ref="G88:G100" si="9">F88-E88</f>
        <v>3.6</v>
      </c>
      <c r="H88" s="56" t="e">
        <f t="shared" ref="H88:H100" si="10">(F88/E88)*100</f>
        <v>#DIV/0!</v>
      </c>
      <c r="I88" s="83"/>
    </row>
    <row r="89" spans="1:11" s="5" customFormat="1" ht="31.5" customHeight="1">
      <c r="A89" s="195"/>
      <c r="B89" s="17" t="s">
        <v>238</v>
      </c>
      <c r="C89" s="27"/>
      <c r="D89" s="18">
        <v>5.9</v>
      </c>
      <c r="E89" s="18"/>
      <c r="F89" s="18">
        <v>21.1</v>
      </c>
      <c r="G89" s="15">
        <f t="shared" si="9"/>
        <v>21.1</v>
      </c>
      <c r="H89" s="56" t="e">
        <f t="shared" si="10"/>
        <v>#DIV/0!</v>
      </c>
      <c r="I89" s="83"/>
    </row>
    <row r="90" spans="1:11" s="5" customFormat="1" ht="31.5" customHeight="1">
      <c r="A90" s="195"/>
      <c r="B90" s="17" t="s">
        <v>226</v>
      </c>
      <c r="C90" s="27"/>
      <c r="D90" s="18">
        <v>4.5</v>
      </c>
      <c r="E90" s="18"/>
      <c r="F90" s="18">
        <v>74.400000000000006</v>
      </c>
      <c r="G90" s="15">
        <f t="shared" si="9"/>
        <v>74.400000000000006</v>
      </c>
      <c r="H90" s="56" t="e">
        <f t="shared" si="10"/>
        <v>#DIV/0!</v>
      </c>
      <c r="I90" s="83"/>
    </row>
    <row r="91" spans="1:11" s="5" customFormat="1" ht="37.5" customHeight="1">
      <c r="A91" s="239" t="s">
        <v>119</v>
      </c>
      <c r="B91" s="239"/>
      <c r="C91" s="27"/>
      <c r="D91" s="18"/>
      <c r="E91" s="14"/>
      <c r="F91" s="14"/>
      <c r="G91" s="15"/>
      <c r="H91" s="15"/>
      <c r="I91" s="83"/>
    </row>
    <row r="92" spans="1:11" s="5" customFormat="1" ht="37.5" customHeight="1">
      <c r="A92" s="239" t="s">
        <v>93</v>
      </c>
      <c r="B92" s="239"/>
      <c r="C92" s="27">
        <v>1035</v>
      </c>
      <c r="D92" s="14">
        <f>SUM(D93:D100)</f>
        <v>178.5</v>
      </c>
      <c r="E92" s="14">
        <f>SUM(E93:E100)</f>
        <v>210.3</v>
      </c>
      <c r="F92" s="14">
        <f>SUM(F93:F100)</f>
        <v>220.49999999999997</v>
      </c>
      <c r="G92" s="19">
        <f t="shared" si="9"/>
        <v>10.19999999999996</v>
      </c>
      <c r="H92" s="19">
        <f t="shared" si="10"/>
        <v>104.85021398002851</v>
      </c>
      <c r="I92" s="83">
        <v>220.5</v>
      </c>
      <c r="J92" s="28"/>
    </row>
    <row r="93" spans="1:11" s="5" customFormat="1" ht="32.25" customHeight="1">
      <c r="A93" s="204"/>
      <c r="B93" s="17" t="s">
        <v>166</v>
      </c>
      <c r="C93" s="27"/>
      <c r="D93" s="18">
        <v>6.2</v>
      </c>
      <c r="E93" s="18">
        <v>6</v>
      </c>
      <c r="F93" s="18">
        <v>5.9</v>
      </c>
      <c r="G93" s="15">
        <f t="shared" si="9"/>
        <v>-9.9999999999999645E-2</v>
      </c>
      <c r="H93" s="15">
        <f t="shared" si="10"/>
        <v>98.333333333333343</v>
      </c>
      <c r="I93" s="83"/>
      <c r="J93" s="28"/>
    </row>
    <row r="94" spans="1:11" s="5" customFormat="1" ht="31.5" customHeight="1">
      <c r="A94" s="204"/>
      <c r="B94" s="17" t="s">
        <v>167</v>
      </c>
      <c r="C94" s="27"/>
      <c r="D94" s="18">
        <v>3.1</v>
      </c>
      <c r="E94" s="18">
        <v>3</v>
      </c>
      <c r="F94" s="18">
        <v>8.1999999999999993</v>
      </c>
      <c r="G94" s="15">
        <f t="shared" si="9"/>
        <v>5.1999999999999993</v>
      </c>
      <c r="H94" s="15">
        <f t="shared" si="10"/>
        <v>273.33333333333331</v>
      </c>
      <c r="I94" s="83"/>
      <c r="K94" s="28"/>
    </row>
    <row r="95" spans="1:11" s="5" customFormat="1" ht="30" customHeight="1">
      <c r="A95" s="204"/>
      <c r="B95" s="17" t="s">
        <v>168</v>
      </c>
      <c r="C95" s="27"/>
      <c r="D95" s="18">
        <v>61.7</v>
      </c>
      <c r="E95" s="18">
        <v>63</v>
      </c>
      <c r="F95" s="18">
        <v>72.900000000000006</v>
      </c>
      <c r="G95" s="15">
        <f t="shared" si="9"/>
        <v>9.9000000000000057</v>
      </c>
      <c r="H95" s="15">
        <f t="shared" si="10"/>
        <v>115.71428571428572</v>
      </c>
      <c r="I95" s="83"/>
    </row>
    <row r="96" spans="1:11" s="5" customFormat="1" ht="30" customHeight="1">
      <c r="A96" s="204"/>
      <c r="B96" s="17" t="s">
        <v>227</v>
      </c>
      <c r="C96" s="27"/>
      <c r="D96" s="18">
        <v>27.7</v>
      </c>
      <c r="E96" s="18">
        <v>22.5</v>
      </c>
      <c r="F96" s="18">
        <v>48.1</v>
      </c>
      <c r="G96" s="15">
        <f t="shared" si="9"/>
        <v>25.6</v>
      </c>
      <c r="H96" s="15">
        <f t="shared" si="10"/>
        <v>213.7777777777778</v>
      </c>
      <c r="I96" s="83"/>
    </row>
    <row r="97" spans="1:9" s="5" customFormat="1" ht="30" customHeight="1">
      <c r="A97" s="204"/>
      <c r="B97" s="17" t="s">
        <v>248</v>
      </c>
      <c r="C97" s="27"/>
      <c r="D97" s="18">
        <v>79.2</v>
      </c>
      <c r="E97" s="18"/>
      <c r="F97" s="18">
        <v>64.8</v>
      </c>
      <c r="G97" s="15">
        <f t="shared" si="9"/>
        <v>64.8</v>
      </c>
      <c r="H97" s="56" t="e">
        <f t="shared" si="10"/>
        <v>#DIV/0!</v>
      </c>
      <c r="I97" s="83"/>
    </row>
    <row r="98" spans="1:9" s="5" customFormat="1" ht="30" customHeight="1">
      <c r="A98" s="204"/>
      <c r="B98" s="17" t="s">
        <v>241</v>
      </c>
      <c r="C98" s="27"/>
      <c r="D98" s="18"/>
      <c r="E98" s="18"/>
      <c r="F98" s="18">
        <v>19.5</v>
      </c>
      <c r="G98" s="15">
        <f t="shared" si="9"/>
        <v>19.5</v>
      </c>
      <c r="H98" s="56" t="e">
        <f t="shared" si="10"/>
        <v>#DIV/0!</v>
      </c>
      <c r="I98" s="83"/>
    </row>
    <row r="99" spans="1:9" s="5" customFormat="1" ht="31.5" customHeight="1">
      <c r="A99" s="204"/>
      <c r="B99" s="17" t="s">
        <v>44</v>
      </c>
      <c r="C99" s="27"/>
      <c r="D99" s="18">
        <v>0.6</v>
      </c>
      <c r="E99" s="18"/>
      <c r="F99" s="18">
        <v>1.1000000000000001</v>
      </c>
      <c r="G99" s="15">
        <f t="shared" si="9"/>
        <v>1.1000000000000001</v>
      </c>
      <c r="H99" s="56" t="e">
        <f t="shared" si="10"/>
        <v>#DIV/0!</v>
      </c>
      <c r="I99" s="83"/>
    </row>
    <row r="100" spans="1:9" s="5" customFormat="1" ht="31.5" customHeight="1">
      <c r="A100" s="204"/>
      <c r="B100" s="17" t="s">
        <v>194</v>
      </c>
      <c r="C100" s="27"/>
      <c r="D100" s="18"/>
      <c r="E100" s="18">
        <v>115.8</v>
      </c>
      <c r="F100" s="18"/>
      <c r="G100" s="15">
        <f t="shared" si="9"/>
        <v>-115.8</v>
      </c>
      <c r="H100" s="15">
        <f t="shared" si="10"/>
        <v>0</v>
      </c>
      <c r="I100" s="83"/>
    </row>
    <row r="101" spans="1:9">
      <c r="B101" s="7"/>
      <c r="D101" s="110"/>
      <c r="E101" s="6"/>
      <c r="F101" s="6"/>
    </row>
    <row r="102" spans="1:9" ht="24.75" customHeight="1">
      <c r="B102" s="29" t="s">
        <v>209</v>
      </c>
      <c r="C102" s="30"/>
      <c r="D102" s="243"/>
      <c r="E102" s="243"/>
      <c r="F102" s="240" t="s">
        <v>184</v>
      </c>
      <c r="G102" s="240"/>
      <c r="H102" s="240"/>
      <c r="I102" s="186"/>
    </row>
    <row r="103" spans="1:9">
      <c r="B103" s="205" t="s">
        <v>60</v>
      </c>
      <c r="C103" s="2"/>
      <c r="D103" s="244" t="s">
        <v>66</v>
      </c>
      <c r="E103" s="244"/>
      <c r="F103" s="241" t="s">
        <v>17</v>
      </c>
      <c r="G103" s="241"/>
      <c r="H103" s="241"/>
    </row>
    <row r="104" spans="1:9">
      <c r="B104" s="7"/>
      <c r="D104" s="110"/>
      <c r="E104" s="6"/>
      <c r="F104" s="6"/>
    </row>
    <row r="105" spans="1:9">
      <c r="B105" s="7"/>
      <c r="D105" s="110"/>
      <c r="E105" s="6"/>
      <c r="F105" s="6"/>
    </row>
    <row r="106" spans="1:9">
      <c r="B106" s="7"/>
      <c r="D106" s="110"/>
      <c r="E106" s="6"/>
      <c r="F106" s="6"/>
    </row>
    <row r="107" spans="1:9">
      <c r="B107" s="7"/>
      <c r="D107" s="110"/>
      <c r="E107" s="6"/>
      <c r="F107" s="6"/>
    </row>
    <row r="108" spans="1:9">
      <c r="B108" s="7"/>
      <c r="D108" s="110"/>
      <c r="E108" s="6"/>
      <c r="F108" s="6"/>
    </row>
    <row r="109" spans="1:9">
      <c r="B109" s="7"/>
      <c r="D109" s="110"/>
      <c r="E109" s="6"/>
      <c r="F109" s="6"/>
    </row>
    <row r="110" spans="1:9">
      <c r="B110" s="7"/>
      <c r="D110" s="110"/>
      <c r="E110" s="6"/>
      <c r="F110" s="6"/>
    </row>
    <row r="111" spans="1:9">
      <c r="B111" s="7"/>
      <c r="D111" s="110"/>
      <c r="E111" s="6"/>
      <c r="F111" s="6"/>
    </row>
    <row r="112" spans="1:9">
      <c r="B112" s="7"/>
      <c r="D112" s="110"/>
      <c r="E112" s="6"/>
      <c r="F112" s="6"/>
    </row>
    <row r="113" spans="2:6">
      <c r="B113" s="7"/>
      <c r="D113" s="110"/>
      <c r="E113" s="6"/>
      <c r="F113" s="6"/>
    </row>
    <row r="114" spans="2:6">
      <c r="B114" s="7"/>
      <c r="D114" s="110"/>
      <c r="E114" s="6"/>
      <c r="F114" s="6"/>
    </row>
    <row r="115" spans="2:6">
      <c r="B115" s="7"/>
      <c r="D115" s="110"/>
      <c r="E115" s="6"/>
      <c r="F115" s="6"/>
    </row>
    <row r="116" spans="2:6">
      <c r="B116" s="7"/>
      <c r="D116" s="110"/>
      <c r="E116" s="6"/>
      <c r="F116" s="6"/>
    </row>
    <row r="117" spans="2:6">
      <c r="B117" s="7"/>
      <c r="D117" s="110"/>
      <c r="E117" s="6"/>
      <c r="F117" s="6"/>
    </row>
    <row r="118" spans="2:6">
      <c r="B118" s="7"/>
      <c r="D118" s="110"/>
      <c r="E118" s="6"/>
      <c r="F118" s="6"/>
    </row>
    <row r="119" spans="2:6">
      <c r="B119" s="7"/>
      <c r="D119" s="110"/>
      <c r="E119" s="6"/>
      <c r="F119" s="6"/>
    </row>
    <row r="120" spans="2:6">
      <c r="B120" s="7"/>
      <c r="D120" s="110"/>
      <c r="E120" s="6"/>
      <c r="F120" s="6"/>
    </row>
    <row r="121" spans="2:6">
      <c r="B121" s="7"/>
      <c r="D121" s="110"/>
      <c r="E121" s="6"/>
      <c r="F121" s="6"/>
    </row>
    <row r="122" spans="2:6">
      <c r="B122" s="7"/>
      <c r="D122" s="110"/>
      <c r="E122" s="6"/>
      <c r="F122" s="6"/>
    </row>
    <row r="123" spans="2:6">
      <c r="B123" s="7"/>
      <c r="D123" s="110"/>
      <c r="E123" s="6"/>
      <c r="F123" s="6"/>
    </row>
    <row r="124" spans="2:6">
      <c r="B124" s="7"/>
      <c r="D124" s="110"/>
      <c r="E124" s="6"/>
      <c r="F124" s="6"/>
    </row>
    <row r="125" spans="2:6">
      <c r="B125" s="7"/>
      <c r="D125" s="110"/>
      <c r="E125" s="6"/>
      <c r="F125" s="6"/>
    </row>
    <row r="126" spans="2:6">
      <c r="B126" s="7"/>
      <c r="D126" s="110"/>
      <c r="E126" s="6"/>
      <c r="F126" s="6"/>
    </row>
    <row r="127" spans="2:6">
      <c r="B127" s="7"/>
      <c r="D127" s="110"/>
      <c r="E127" s="6"/>
      <c r="F127" s="6"/>
    </row>
    <row r="128" spans="2:6">
      <c r="B128" s="7"/>
      <c r="D128" s="110"/>
      <c r="E128" s="6"/>
      <c r="F128" s="6"/>
    </row>
    <row r="129" spans="2:6">
      <c r="B129" s="7"/>
      <c r="D129" s="110"/>
      <c r="E129" s="6"/>
      <c r="F129" s="6"/>
    </row>
    <row r="130" spans="2:6">
      <c r="B130" s="7"/>
      <c r="D130" s="110"/>
      <c r="E130" s="6"/>
      <c r="F130" s="6"/>
    </row>
    <row r="131" spans="2:6">
      <c r="B131" s="7"/>
      <c r="D131" s="110"/>
      <c r="E131" s="6"/>
      <c r="F131" s="6"/>
    </row>
    <row r="132" spans="2:6">
      <c r="B132" s="7"/>
      <c r="D132" s="110"/>
      <c r="E132" s="6"/>
      <c r="F132" s="6"/>
    </row>
    <row r="133" spans="2:6">
      <c r="B133" s="7"/>
      <c r="D133" s="110"/>
      <c r="E133" s="6"/>
      <c r="F133" s="6"/>
    </row>
    <row r="134" spans="2:6">
      <c r="B134" s="7"/>
      <c r="D134" s="110"/>
      <c r="E134" s="6"/>
      <c r="F134" s="6"/>
    </row>
    <row r="135" spans="2:6">
      <c r="B135" s="7"/>
      <c r="D135" s="110"/>
      <c r="E135" s="6"/>
      <c r="F135" s="6"/>
    </row>
    <row r="136" spans="2:6">
      <c r="B136" s="7"/>
      <c r="D136" s="110"/>
      <c r="E136" s="6"/>
      <c r="F136" s="6"/>
    </row>
    <row r="137" spans="2:6">
      <c r="B137" s="7"/>
      <c r="D137" s="110"/>
      <c r="E137" s="6"/>
      <c r="F137" s="6"/>
    </row>
    <row r="138" spans="2:6">
      <c r="B138" s="7"/>
      <c r="D138" s="110"/>
      <c r="E138" s="6"/>
      <c r="F138" s="6"/>
    </row>
    <row r="139" spans="2:6">
      <c r="B139" s="7"/>
      <c r="D139" s="110"/>
      <c r="E139" s="6"/>
      <c r="F139" s="6"/>
    </row>
    <row r="140" spans="2:6">
      <c r="B140" s="7"/>
      <c r="D140" s="110"/>
      <c r="E140" s="6"/>
      <c r="F140" s="6"/>
    </row>
    <row r="141" spans="2:6">
      <c r="B141" s="7"/>
      <c r="D141" s="110"/>
      <c r="E141" s="6"/>
      <c r="F141" s="6"/>
    </row>
    <row r="142" spans="2:6">
      <c r="B142" s="7"/>
      <c r="D142" s="110"/>
      <c r="E142" s="6"/>
      <c r="F142" s="6"/>
    </row>
    <row r="143" spans="2:6">
      <c r="B143" s="7"/>
      <c r="D143" s="110"/>
      <c r="E143" s="6"/>
      <c r="F143" s="6"/>
    </row>
    <row r="144" spans="2:6">
      <c r="B144" s="7"/>
      <c r="D144" s="110"/>
      <c r="E144" s="6"/>
      <c r="F144" s="6"/>
    </row>
    <row r="145" spans="2:6">
      <c r="B145" s="7"/>
      <c r="D145" s="110"/>
      <c r="E145" s="6"/>
      <c r="F145" s="6"/>
    </row>
    <row r="146" spans="2:6">
      <c r="B146" s="7"/>
      <c r="D146" s="110"/>
      <c r="E146" s="6"/>
      <c r="F146" s="6"/>
    </row>
    <row r="147" spans="2:6">
      <c r="B147" s="7"/>
      <c r="D147" s="110"/>
      <c r="E147" s="6"/>
      <c r="F147" s="6"/>
    </row>
    <row r="148" spans="2:6">
      <c r="B148" s="7"/>
      <c r="D148" s="110"/>
      <c r="E148" s="6"/>
      <c r="F148" s="6"/>
    </row>
    <row r="149" spans="2:6">
      <c r="B149" s="7"/>
      <c r="D149" s="110"/>
      <c r="E149" s="6"/>
      <c r="F149" s="6"/>
    </row>
    <row r="150" spans="2:6">
      <c r="B150" s="7"/>
      <c r="D150" s="110"/>
      <c r="E150" s="6"/>
      <c r="F150" s="6"/>
    </row>
    <row r="151" spans="2:6">
      <c r="B151" s="7"/>
      <c r="D151" s="110"/>
      <c r="E151" s="6"/>
      <c r="F151" s="6"/>
    </row>
    <row r="152" spans="2:6">
      <c r="B152" s="7"/>
      <c r="D152" s="110"/>
      <c r="E152" s="6"/>
      <c r="F152" s="6"/>
    </row>
    <row r="153" spans="2:6">
      <c r="B153" s="7"/>
      <c r="D153" s="110"/>
      <c r="E153" s="6"/>
      <c r="F153" s="6"/>
    </row>
    <row r="154" spans="2:6">
      <c r="B154" s="7"/>
      <c r="D154" s="110"/>
      <c r="E154" s="6"/>
      <c r="F154" s="6"/>
    </row>
    <row r="155" spans="2:6">
      <c r="B155" s="7"/>
      <c r="D155" s="110"/>
      <c r="E155" s="6"/>
      <c r="F155" s="6"/>
    </row>
    <row r="156" spans="2:6">
      <c r="B156" s="7"/>
      <c r="D156" s="110"/>
      <c r="E156" s="6"/>
      <c r="F156" s="6"/>
    </row>
    <row r="157" spans="2:6">
      <c r="B157" s="7"/>
      <c r="D157" s="110"/>
      <c r="E157" s="6"/>
      <c r="F157" s="6"/>
    </row>
    <row r="158" spans="2:6">
      <c r="B158" s="7"/>
    </row>
    <row r="159" spans="2:6">
      <c r="B159" s="8"/>
    </row>
    <row r="160" spans="2:6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  <row r="270" spans="2:2">
      <c r="B270" s="8"/>
    </row>
    <row r="271" spans="2:2">
      <c r="B271" s="8"/>
    </row>
    <row r="272" spans="2:2">
      <c r="B272" s="8"/>
    </row>
    <row r="273" spans="2:2">
      <c r="B273" s="8"/>
    </row>
    <row r="274" spans="2:2">
      <c r="B274" s="8"/>
    </row>
    <row r="275" spans="2:2">
      <c r="B275" s="8"/>
    </row>
    <row r="276" spans="2:2">
      <c r="B276" s="8"/>
    </row>
    <row r="277" spans="2:2">
      <c r="B277" s="8"/>
    </row>
    <row r="278" spans="2:2">
      <c r="B278" s="8"/>
    </row>
    <row r="279" spans="2:2">
      <c r="B279" s="8"/>
    </row>
    <row r="280" spans="2:2">
      <c r="B280" s="8"/>
    </row>
    <row r="281" spans="2:2">
      <c r="B281" s="8"/>
    </row>
    <row r="282" spans="2:2">
      <c r="B282" s="8"/>
    </row>
    <row r="283" spans="2:2">
      <c r="B283" s="8"/>
    </row>
    <row r="284" spans="2:2">
      <c r="B284" s="8"/>
    </row>
    <row r="285" spans="2:2">
      <c r="B285" s="8"/>
    </row>
    <row r="286" spans="2:2">
      <c r="B286" s="8"/>
    </row>
    <row r="287" spans="2:2">
      <c r="B287" s="8"/>
    </row>
    <row r="288" spans="2:2">
      <c r="B288" s="8"/>
    </row>
    <row r="289" spans="2:2">
      <c r="B289" s="8"/>
    </row>
    <row r="290" spans="2:2">
      <c r="B290" s="8"/>
    </row>
    <row r="291" spans="2:2">
      <c r="B291" s="8"/>
    </row>
    <row r="292" spans="2:2">
      <c r="B292" s="8"/>
    </row>
    <row r="293" spans="2:2">
      <c r="B293" s="8"/>
    </row>
    <row r="294" spans="2:2">
      <c r="B294" s="8"/>
    </row>
    <row r="295" spans="2:2">
      <c r="B295" s="8"/>
    </row>
    <row r="296" spans="2:2">
      <c r="B296" s="8"/>
    </row>
    <row r="297" spans="2:2">
      <c r="B297" s="8"/>
    </row>
    <row r="298" spans="2:2">
      <c r="B298" s="8"/>
    </row>
    <row r="299" spans="2:2">
      <c r="B299" s="8"/>
    </row>
    <row r="300" spans="2:2">
      <c r="B300" s="8"/>
    </row>
    <row r="301" spans="2:2">
      <c r="B301" s="8"/>
    </row>
    <row r="302" spans="2:2">
      <c r="B302" s="8"/>
    </row>
    <row r="303" spans="2:2">
      <c r="B303" s="8"/>
    </row>
    <row r="304" spans="2:2">
      <c r="B304" s="8"/>
    </row>
    <row r="305" spans="2:2">
      <c r="B305" s="8"/>
    </row>
    <row r="306" spans="2:2">
      <c r="B306" s="8"/>
    </row>
    <row r="307" spans="2:2">
      <c r="B307" s="8"/>
    </row>
    <row r="308" spans="2:2">
      <c r="B308" s="8"/>
    </row>
    <row r="309" spans="2:2">
      <c r="B309" s="8"/>
    </row>
    <row r="310" spans="2:2">
      <c r="B310" s="8"/>
    </row>
    <row r="311" spans="2:2">
      <c r="B311" s="8"/>
    </row>
    <row r="312" spans="2:2">
      <c r="B312" s="8"/>
    </row>
    <row r="313" spans="2:2">
      <c r="B313" s="8"/>
    </row>
    <row r="314" spans="2:2">
      <c r="B314" s="8"/>
    </row>
    <row r="315" spans="2:2">
      <c r="B315" s="8"/>
    </row>
    <row r="316" spans="2:2">
      <c r="B316" s="8"/>
    </row>
    <row r="317" spans="2:2">
      <c r="B317" s="8"/>
    </row>
    <row r="318" spans="2:2">
      <c r="B318" s="8"/>
    </row>
    <row r="319" spans="2:2">
      <c r="B319" s="8"/>
    </row>
    <row r="320" spans="2:2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  <row r="325" spans="2:2">
      <c r="B325" s="8"/>
    </row>
  </sheetData>
  <mergeCells count="19">
    <mergeCell ref="A19:B19"/>
    <mergeCell ref="A17:B17"/>
    <mergeCell ref="A92:B92"/>
    <mergeCell ref="A91:B91"/>
    <mergeCell ref="F102:H102"/>
    <mergeCell ref="F103:H103"/>
    <mergeCell ref="B2:F2"/>
    <mergeCell ref="D102:E102"/>
    <mergeCell ref="D103:E103"/>
    <mergeCell ref="A21:B21"/>
    <mergeCell ref="A22:B22"/>
    <mergeCell ref="A23:B23"/>
    <mergeCell ref="A32:B32"/>
    <mergeCell ref="A64:B64"/>
    <mergeCell ref="A65:B65"/>
    <mergeCell ref="A69:B69"/>
    <mergeCell ref="A6:B6"/>
    <mergeCell ref="A7:B7"/>
    <mergeCell ref="A10:B10"/>
  </mergeCells>
  <pageMargins left="0.39370078740157483" right="0.39370078740157483" top="0.78740157480314965" bottom="0.39370078740157483" header="0.31496062992125984" footer="0.31496062992125984"/>
  <pageSetup paperSize="9" scale="82" fitToHeight="7" orientation="landscape" r:id="rId1"/>
  <rowBreaks count="1" manualBreakCount="1">
    <brk id="20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R481"/>
  <sheetViews>
    <sheetView view="pageBreakPreview" topLeftCell="A82" zoomScale="70" zoomScaleNormal="70" zoomScaleSheetLayoutView="70" workbookViewId="0">
      <selection activeCell="J103" sqref="J103"/>
    </sheetView>
  </sheetViews>
  <sheetFormatPr defaultRowHeight="18.75"/>
  <cols>
    <col min="1" max="1" width="10" style="2" customWidth="1"/>
    <col min="2" max="2" width="106.140625" style="2" customWidth="1"/>
    <col min="3" max="3" width="14.140625" style="205" customWidth="1"/>
    <col min="4" max="4" width="17.5703125" style="205" customWidth="1"/>
    <col min="5" max="5" width="17.42578125" style="205" customWidth="1"/>
    <col min="6" max="6" width="18.140625" style="205" customWidth="1"/>
    <col min="7" max="7" width="18.28515625" style="2" customWidth="1"/>
    <col min="8" max="9" width="17.7109375" style="2" customWidth="1"/>
    <col min="10" max="10" width="19" style="89" customWidth="1"/>
    <col min="11" max="11" width="21.85546875" style="5" customWidth="1"/>
    <col min="12" max="12" width="22.7109375" style="2" customWidth="1"/>
    <col min="13" max="13" width="21.85546875" style="2" customWidth="1"/>
    <col min="14" max="14" width="15.85546875" style="205" bestFit="1" customWidth="1"/>
    <col min="15" max="15" width="19.140625" style="205" customWidth="1"/>
    <col min="16" max="16" width="15.28515625" style="2" bestFit="1" customWidth="1"/>
    <col min="17" max="17" width="13.85546875" style="2" bestFit="1" customWidth="1"/>
    <col min="18" max="18" width="14.7109375" style="2" bestFit="1" customWidth="1"/>
    <col min="19" max="19" width="13.42578125" style="2" bestFit="1" customWidth="1"/>
    <col min="20" max="22" width="9.140625" style="2"/>
    <col min="23" max="23" width="10.28515625" style="2" customWidth="1"/>
    <col min="24" max="16384" width="9.140625" style="2"/>
  </cols>
  <sheetData>
    <row r="2" spans="1:17" ht="22.5" customHeight="1">
      <c r="B2" s="247" t="s">
        <v>117</v>
      </c>
      <c r="C2" s="247"/>
      <c r="D2" s="247"/>
      <c r="E2" s="247"/>
      <c r="F2" s="247"/>
      <c r="G2" s="247"/>
      <c r="H2" s="247"/>
    </row>
    <row r="3" spans="1:17">
      <c r="B3" s="206"/>
      <c r="C3" s="3"/>
      <c r="D3" s="206"/>
      <c r="E3" s="206"/>
      <c r="F3" s="206"/>
      <c r="H3" s="2" t="s">
        <v>65</v>
      </c>
    </row>
    <row r="4" spans="1:17" ht="98.25" customHeight="1">
      <c r="A4" s="4" t="s">
        <v>76</v>
      </c>
      <c r="B4" s="4" t="s">
        <v>23</v>
      </c>
      <c r="C4" s="12" t="s">
        <v>5</v>
      </c>
      <c r="D4" s="12" t="s">
        <v>357</v>
      </c>
      <c r="E4" s="12" t="s">
        <v>360</v>
      </c>
      <c r="F4" s="12" t="s">
        <v>361</v>
      </c>
      <c r="G4" s="12" t="s">
        <v>108</v>
      </c>
      <c r="H4" s="12" t="s">
        <v>111</v>
      </c>
      <c r="N4" s="32"/>
      <c r="O4" s="32"/>
    </row>
    <row r="5" spans="1:17" ht="30.75" customHeight="1">
      <c r="A5" s="24"/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  <c r="I5" s="20"/>
      <c r="J5" s="28"/>
      <c r="K5" s="33"/>
      <c r="M5" s="20"/>
      <c r="N5" s="34"/>
      <c r="O5" s="34"/>
    </row>
    <row r="6" spans="1:17" ht="36" customHeight="1">
      <c r="A6" s="245" t="s">
        <v>84</v>
      </c>
      <c r="B6" s="245"/>
      <c r="C6" s="195"/>
      <c r="D6" s="14">
        <f>SUM(D7,D55,D110,D124,D147,D155,D162,D174,D179,D206,D211,D250)</f>
        <v>99113.600000000006</v>
      </c>
      <c r="E6" s="14">
        <f>SUM(E7,E55,E110,E124,E147,E155,E162,E174,E179,E206,E211,E250)</f>
        <v>118352.9</v>
      </c>
      <c r="F6" s="14">
        <f>SUM(F7,F55,F110,F124,F147,F155,F162,F174,F179,F206,F211,F250)</f>
        <v>129165.6</v>
      </c>
      <c r="G6" s="19">
        <f>F6-E6</f>
        <v>10812.700000000012</v>
      </c>
      <c r="H6" s="19">
        <f>(F6/E6)*100</f>
        <v>109.1359823037712</v>
      </c>
      <c r="I6" s="20"/>
      <c r="J6" s="28"/>
      <c r="N6" s="275"/>
      <c r="O6" s="275"/>
      <c r="P6" s="20"/>
    </row>
    <row r="7" spans="1:17" ht="39.75" customHeight="1">
      <c r="A7" s="195" t="s">
        <v>85</v>
      </c>
      <c r="B7" s="22" t="s">
        <v>118</v>
      </c>
      <c r="C7" s="195"/>
      <c r="D7" s="14">
        <f>D9+D37+D50</f>
        <v>74506.600000000006</v>
      </c>
      <c r="E7" s="14">
        <f>E9+E37+E50</f>
        <v>101750.8</v>
      </c>
      <c r="F7" s="14">
        <f>F9+F37+F50</f>
        <v>102669.20000000001</v>
      </c>
      <c r="G7" s="19">
        <f>F7-E7</f>
        <v>918.40000000000873</v>
      </c>
      <c r="H7" s="19">
        <f>(F7/E7)*100</f>
        <v>100.90259732601612</v>
      </c>
      <c r="I7" s="20"/>
      <c r="J7" s="28"/>
      <c r="K7" s="28"/>
      <c r="L7" s="28"/>
      <c r="M7" s="28"/>
      <c r="N7" s="35"/>
      <c r="O7" s="35"/>
      <c r="P7" s="36"/>
    </row>
    <row r="8" spans="1:17" ht="29.25" customHeight="1">
      <c r="A8" s="4"/>
      <c r="B8" s="37" t="s">
        <v>86</v>
      </c>
      <c r="C8" s="12"/>
      <c r="D8" s="18"/>
      <c r="E8" s="18"/>
      <c r="F8" s="18"/>
      <c r="G8" s="19"/>
      <c r="H8" s="19"/>
      <c r="I8" s="20"/>
      <c r="J8" s="28"/>
      <c r="K8" s="28">
        <f>K10+K17+K24</f>
        <v>99113.600000000006</v>
      </c>
      <c r="L8" s="28">
        <f t="shared" ref="L8:M8" si="0">L10+L17+L24</f>
        <v>118352.90000000001</v>
      </c>
      <c r="M8" s="28">
        <f t="shared" si="0"/>
        <v>129165.6</v>
      </c>
      <c r="N8" s="35"/>
    </row>
    <row r="9" spans="1:17" ht="32.25" customHeight="1">
      <c r="A9" s="38" t="s">
        <v>87</v>
      </c>
      <c r="B9" s="204" t="s">
        <v>90</v>
      </c>
      <c r="C9" s="195">
        <v>1010</v>
      </c>
      <c r="D9" s="14">
        <f>D10+D16+D17+D19+D18</f>
        <v>68558.600000000006</v>
      </c>
      <c r="E9" s="14">
        <f>E10+E16+E17+E19</f>
        <v>93393.3</v>
      </c>
      <c r="F9" s="14">
        <f>F10+F16+F17+F19+F18</f>
        <v>95728.1</v>
      </c>
      <c r="G9" s="19">
        <f>F9-E9</f>
        <v>2334.8000000000029</v>
      </c>
      <c r="H9" s="19">
        <f>(F9/E9)*100</f>
        <v>102.49996520092984</v>
      </c>
      <c r="I9" s="20"/>
      <c r="K9" s="91"/>
      <c r="L9" s="91"/>
      <c r="M9" s="91"/>
      <c r="N9" s="35"/>
      <c r="O9" s="35"/>
      <c r="P9" s="5"/>
    </row>
    <row r="10" spans="1:17" ht="32.25" customHeight="1">
      <c r="A10" s="39" t="s">
        <v>135</v>
      </c>
      <c r="B10" s="40" t="s">
        <v>105</v>
      </c>
      <c r="C10" s="41">
        <v>1011</v>
      </c>
      <c r="D10" s="42">
        <f>SUM(D11:D15)</f>
        <v>7923.9000000000005</v>
      </c>
      <c r="E10" s="42">
        <f>SUM(E11:E15)</f>
        <v>14076</v>
      </c>
      <c r="F10" s="42">
        <f>SUM(F11:F15)</f>
        <v>13888.4</v>
      </c>
      <c r="G10" s="43">
        <f t="shared" ref="G10:G73" si="1">F10-E10</f>
        <v>-187.60000000000036</v>
      </c>
      <c r="H10" s="43">
        <f t="shared" ref="H10:H73" si="2">(F10/E10)*100</f>
        <v>98.667235009946012</v>
      </c>
      <c r="I10" s="20"/>
      <c r="J10" s="89">
        <v>1010</v>
      </c>
      <c r="K10" s="91">
        <f>SUM(D9,D57,D112,D126,D149,D164,D181,D208,D213,D252,)</f>
        <v>92226.2</v>
      </c>
      <c r="L10" s="91">
        <f>SUM(E9,E57,E112,E126,E149,E164,E181,E208,E213,E252)</f>
        <v>109284.20000000001</v>
      </c>
      <c r="M10" s="91">
        <f>SUM(F9,F57,F112,F126,F149,F164,F181,F208,F213,F252)</f>
        <v>119847.1</v>
      </c>
      <c r="N10" s="35"/>
      <c r="O10" s="35"/>
      <c r="P10" s="28"/>
      <c r="Q10" s="20"/>
    </row>
    <row r="11" spans="1:17" ht="25.5" customHeight="1">
      <c r="A11" s="44"/>
      <c r="B11" s="17" t="s">
        <v>136</v>
      </c>
      <c r="C11" s="45"/>
      <c r="D11" s="18">
        <v>7111.1</v>
      </c>
      <c r="E11" s="18">
        <v>12150</v>
      </c>
      <c r="F11" s="18">
        <f>12577</f>
        <v>12577</v>
      </c>
      <c r="G11" s="15">
        <f t="shared" si="1"/>
        <v>427</v>
      </c>
      <c r="H11" s="15">
        <f t="shared" si="2"/>
        <v>103.51440329218107</v>
      </c>
      <c r="J11" s="89">
        <v>1011</v>
      </c>
      <c r="K11" s="36">
        <f>SUM(D10,D58,D113,D127,D150,D182,D209,D214,)</f>
        <v>20453.100000000002</v>
      </c>
      <c r="L11" s="36">
        <f>SUM(E10,E58,E113,E127,E150,E182,E209,E214,)</f>
        <v>18819.5</v>
      </c>
      <c r="M11" s="36">
        <f>SUM(F10,F58,F113,F127,F150,F182,F209,F214,)</f>
        <v>23657.999999999996</v>
      </c>
      <c r="N11" s="35"/>
      <c r="O11" s="35"/>
      <c r="P11" s="36"/>
    </row>
    <row r="12" spans="1:17" ht="27" customHeight="1">
      <c r="A12" s="44"/>
      <c r="B12" s="17" t="s">
        <v>137</v>
      </c>
      <c r="C12" s="45"/>
      <c r="D12" s="18">
        <v>514.29999999999995</v>
      </c>
      <c r="E12" s="18">
        <v>900</v>
      </c>
      <c r="F12" s="18">
        <v>610.5</v>
      </c>
      <c r="G12" s="15">
        <f t="shared" si="1"/>
        <v>-289.5</v>
      </c>
      <c r="H12" s="15">
        <f t="shared" si="2"/>
        <v>67.833333333333329</v>
      </c>
      <c r="J12" s="89">
        <v>1012</v>
      </c>
      <c r="K12" s="36">
        <f>SUM(D16,D64,)</f>
        <v>49447.899999999994</v>
      </c>
      <c r="L12" s="36">
        <f t="shared" ref="L12:M12" si="3">SUM(E16,E64,)</f>
        <v>62223.1</v>
      </c>
      <c r="M12" s="36">
        <f t="shared" si="3"/>
        <v>66935.7</v>
      </c>
      <c r="N12" s="35"/>
      <c r="P12" s="5"/>
    </row>
    <row r="13" spans="1:17" ht="42" customHeight="1">
      <c r="A13" s="44"/>
      <c r="B13" s="17" t="s">
        <v>158</v>
      </c>
      <c r="C13" s="45"/>
      <c r="D13" s="18">
        <v>167.8</v>
      </c>
      <c r="E13" s="18">
        <v>495</v>
      </c>
      <c r="F13" s="18">
        <f>330.3+165.4</f>
        <v>495.70000000000005</v>
      </c>
      <c r="G13" s="15">
        <f t="shared" si="1"/>
        <v>0.70000000000004547</v>
      </c>
      <c r="H13" s="15">
        <f t="shared" si="2"/>
        <v>100.14141414141416</v>
      </c>
      <c r="J13" s="89">
        <v>1013</v>
      </c>
      <c r="K13" s="36">
        <f>SUM(D17,D65,)</f>
        <v>10535.199999999999</v>
      </c>
      <c r="L13" s="20">
        <f t="shared" ref="L13:M13" si="4">SUM(E17,E65,)</f>
        <v>13565.1</v>
      </c>
      <c r="M13" s="20">
        <f t="shared" si="4"/>
        <v>14004.1</v>
      </c>
      <c r="N13" s="35"/>
      <c r="O13" s="35"/>
    </row>
    <row r="14" spans="1:17" ht="27.75" customHeight="1">
      <c r="A14" s="44"/>
      <c r="B14" s="116" t="s">
        <v>159</v>
      </c>
      <c r="C14" s="45"/>
      <c r="D14" s="18">
        <v>28.5</v>
      </c>
      <c r="E14" s="18">
        <v>189</v>
      </c>
      <c r="F14" s="18">
        <v>0.3</v>
      </c>
      <c r="G14" s="15">
        <f t="shared" si="1"/>
        <v>-188.7</v>
      </c>
      <c r="H14" s="15">
        <f t="shared" si="2"/>
        <v>0.15873015873015872</v>
      </c>
      <c r="J14" s="89">
        <v>1014</v>
      </c>
      <c r="K14" s="36">
        <f>SUM(D18,D66,D219,D253,D188)</f>
        <v>4522.2</v>
      </c>
      <c r="L14" s="36">
        <f t="shared" ref="L14:M14" si="5">SUM(E18,E66,E219,E253,E188)</f>
        <v>3210</v>
      </c>
      <c r="M14" s="36">
        <f t="shared" si="5"/>
        <v>5075.8</v>
      </c>
      <c r="N14" s="35"/>
      <c r="O14" s="35"/>
    </row>
    <row r="15" spans="1:17" ht="27" customHeight="1">
      <c r="A15" s="44"/>
      <c r="B15" s="17" t="s">
        <v>172</v>
      </c>
      <c r="C15" s="45"/>
      <c r="D15" s="18">
        <v>102.2</v>
      </c>
      <c r="E15" s="18">
        <v>342</v>
      </c>
      <c r="F15" s="18">
        <v>204.9</v>
      </c>
      <c r="G15" s="15">
        <f t="shared" si="1"/>
        <v>-137.1</v>
      </c>
      <c r="H15" s="15">
        <f t="shared" si="2"/>
        <v>59.912280701754383</v>
      </c>
      <c r="J15" s="89">
        <v>1015</v>
      </c>
      <c r="K15" s="36">
        <f>SUM(D19,D67,D131,D165,D189,D220,D115)</f>
        <v>7267.8</v>
      </c>
      <c r="L15" s="36">
        <f t="shared" ref="L15" si="6">SUM(E19,E67,E131,E165,E189,E220,E115)</f>
        <v>11466.5</v>
      </c>
      <c r="M15" s="36">
        <f>SUM(F19,F67,F131,F165,F189,F220,F115)</f>
        <v>10173.5</v>
      </c>
      <c r="N15" s="91"/>
      <c r="O15" s="91"/>
    </row>
    <row r="16" spans="1:17" ht="26.25" customHeight="1">
      <c r="A16" s="39" t="s">
        <v>138</v>
      </c>
      <c r="B16" s="40" t="s">
        <v>2</v>
      </c>
      <c r="C16" s="47">
        <v>1012</v>
      </c>
      <c r="D16" s="42">
        <v>49192.2</v>
      </c>
      <c r="E16" s="42">
        <v>62013.1</v>
      </c>
      <c r="F16" s="42">
        <f>66761.8</f>
        <v>66761.8</v>
      </c>
      <c r="G16" s="43">
        <f t="shared" si="1"/>
        <v>4748.7000000000044</v>
      </c>
      <c r="H16" s="43">
        <f t="shared" si="2"/>
        <v>107.65757557677331</v>
      </c>
      <c r="K16" s="91"/>
      <c r="L16" s="91"/>
      <c r="M16" s="91"/>
      <c r="N16" s="36"/>
      <c r="O16" s="36"/>
    </row>
    <row r="17" spans="1:18" ht="27" customHeight="1">
      <c r="A17" s="39" t="s">
        <v>139</v>
      </c>
      <c r="B17" s="40" t="s">
        <v>3</v>
      </c>
      <c r="C17" s="47">
        <v>1013</v>
      </c>
      <c r="D17" s="42">
        <v>10478.9</v>
      </c>
      <c r="E17" s="42">
        <v>13518.9</v>
      </c>
      <c r="F17" s="42">
        <v>13967.7</v>
      </c>
      <c r="G17" s="43">
        <f t="shared" si="1"/>
        <v>448.80000000000109</v>
      </c>
      <c r="H17" s="43">
        <f t="shared" si="2"/>
        <v>103.31979672902382</v>
      </c>
      <c r="J17" s="89">
        <v>1020</v>
      </c>
      <c r="K17" s="91">
        <f>SUM(D37,D89,D139,D170,D200,D231,D255,D118)</f>
        <v>5591.3</v>
      </c>
      <c r="L17" s="91">
        <f t="shared" ref="L17:M17" si="7">SUM(E37,E89,E139,E170,E200,E231,E255,E118)</f>
        <v>8858.4</v>
      </c>
      <c r="M17" s="91">
        <f t="shared" si="7"/>
        <v>8005.1999999999989</v>
      </c>
      <c r="N17" s="36"/>
      <c r="O17" s="36"/>
      <c r="P17" s="20"/>
      <c r="Q17" s="20"/>
      <c r="R17" s="20"/>
    </row>
    <row r="18" spans="1:18" ht="26.25" customHeight="1">
      <c r="A18" s="39" t="s">
        <v>140</v>
      </c>
      <c r="B18" s="40" t="s">
        <v>4</v>
      </c>
      <c r="C18" s="47">
        <v>1014</v>
      </c>
      <c r="D18" s="42">
        <v>73.599999999999994</v>
      </c>
      <c r="E18" s="42"/>
      <c r="F18" s="42">
        <v>274.10000000000002</v>
      </c>
      <c r="G18" s="43">
        <f t="shared" si="1"/>
        <v>274.10000000000002</v>
      </c>
      <c r="H18" s="213" t="e">
        <f t="shared" si="2"/>
        <v>#DIV/0!</v>
      </c>
      <c r="I18" s="48"/>
      <c r="J18" s="89">
        <v>1021</v>
      </c>
      <c r="K18" s="36">
        <f>SUM(D38,D90,D140,D201,D232,)</f>
        <v>179.20000000000002</v>
      </c>
      <c r="L18" s="36">
        <f>SUM(E38,E90,E140,E201,E232,)</f>
        <v>11.3</v>
      </c>
      <c r="M18" s="36">
        <f>SUM(F38,F90,F140,F201,F232,)</f>
        <v>42.2</v>
      </c>
      <c r="N18" s="36"/>
      <c r="O18" s="36"/>
    </row>
    <row r="19" spans="1:18" ht="26.25" customHeight="1">
      <c r="A19" s="39" t="s">
        <v>141</v>
      </c>
      <c r="B19" s="40" t="s">
        <v>142</v>
      </c>
      <c r="C19" s="47">
        <v>1015</v>
      </c>
      <c r="D19" s="42">
        <f>SUM(D20:D36)</f>
        <v>890.00000000000011</v>
      </c>
      <c r="E19" s="42">
        <f>SUM(E20:E36)</f>
        <v>3785.3</v>
      </c>
      <c r="F19" s="42">
        <f>SUM(F20:F36)</f>
        <v>836.09999999999991</v>
      </c>
      <c r="G19" s="43">
        <f t="shared" si="1"/>
        <v>-2949.2000000000003</v>
      </c>
      <c r="H19" s="43">
        <f t="shared" si="2"/>
        <v>22.088077563205026</v>
      </c>
      <c r="I19" s="85"/>
      <c r="J19" s="89">
        <v>1022</v>
      </c>
      <c r="K19" s="36">
        <f>SUM(D42,)</f>
        <v>3725.4</v>
      </c>
      <c r="L19" s="36">
        <f t="shared" ref="L19:M19" si="8">SUM(E42,)</f>
        <v>6510.4</v>
      </c>
      <c r="M19" s="36">
        <f t="shared" si="8"/>
        <v>4556.3</v>
      </c>
      <c r="N19" s="36"/>
      <c r="O19" s="36"/>
      <c r="P19" s="36"/>
    </row>
    <row r="20" spans="1:18" ht="27" customHeight="1">
      <c r="A20" s="49"/>
      <c r="B20" s="23" t="s">
        <v>143</v>
      </c>
      <c r="C20" s="16"/>
      <c r="D20" s="50">
        <v>49.1</v>
      </c>
      <c r="E20" s="50">
        <v>45</v>
      </c>
      <c r="F20" s="50">
        <f>48.9</f>
        <v>48.9</v>
      </c>
      <c r="G20" s="15">
        <f t="shared" si="1"/>
        <v>3.8999999999999986</v>
      </c>
      <c r="H20" s="15">
        <f t="shared" si="2"/>
        <v>108.66666666666667</v>
      </c>
      <c r="J20" s="89">
        <v>1023</v>
      </c>
      <c r="K20" s="36">
        <f>SUM(D43,)</f>
        <v>754.6</v>
      </c>
      <c r="L20" s="36">
        <f t="shared" ref="L20:M20" si="9">SUM(E43,)</f>
        <v>1419.3</v>
      </c>
      <c r="M20" s="36">
        <f t="shared" si="9"/>
        <v>974.7</v>
      </c>
      <c r="N20" s="36"/>
      <c r="O20" s="36"/>
      <c r="P20" s="5"/>
    </row>
    <row r="21" spans="1:18" ht="26.25" customHeight="1">
      <c r="A21" s="49"/>
      <c r="B21" s="17" t="s">
        <v>144</v>
      </c>
      <c r="C21" s="16"/>
      <c r="D21" s="50">
        <v>340.3</v>
      </c>
      <c r="E21" s="50">
        <v>511.5</v>
      </c>
      <c r="F21" s="50">
        <f>26.4+225.8-220</f>
        <v>32.200000000000017</v>
      </c>
      <c r="G21" s="15">
        <f t="shared" si="1"/>
        <v>-479.29999999999995</v>
      </c>
      <c r="H21" s="15">
        <f t="shared" si="2"/>
        <v>6.2952101661779114</v>
      </c>
      <c r="J21" s="89">
        <v>1024</v>
      </c>
      <c r="K21" s="36">
        <f>SUM(D256)</f>
        <v>236.6</v>
      </c>
      <c r="L21" s="36">
        <f t="shared" ref="L21:M21" si="10">SUM(E256)</f>
        <v>177</v>
      </c>
      <c r="M21" s="36">
        <f t="shared" si="10"/>
        <v>1380.4</v>
      </c>
      <c r="N21" s="35"/>
      <c r="O21" s="35"/>
    </row>
    <row r="22" spans="1:18" ht="26.25" customHeight="1">
      <c r="A22" s="49"/>
      <c r="B22" s="17" t="s">
        <v>145</v>
      </c>
      <c r="C22" s="16"/>
      <c r="D22" s="50">
        <v>76.3</v>
      </c>
      <c r="E22" s="50">
        <v>67.5</v>
      </c>
      <c r="F22" s="50">
        <f>41.2+21.4</f>
        <v>62.6</v>
      </c>
      <c r="G22" s="15">
        <f t="shared" si="1"/>
        <v>-4.8999999999999986</v>
      </c>
      <c r="H22" s="15">
        <f t="shared" si="2"/>
        <v>92.740740740740748</v>
      </c>
      <c r="J22" s="89">
        <v>1025</v>
      </c>
      <c r="K22" s="46">
        <f>SUM(D44,D94,D142,D171,D204,D235,D119)</f>
        <v>695.50000000000011</v>
      </c>
      <c r="L22" s="46">
        <f t="shared" ref="L22:M22" si="11">SUM(E44,E94,E142,E171,E204,E235,E119)</f>
        <v>740.4</v>
      </c>
      <c r="M22" s="46">
        <f t="shared" si="11"/>
        <v>1051.5999999999999</v>
      </c>
      <c r="N22" s="35"/>
      <c r="O22" s="35"/>
      <c r="P22" s="20"/>
    </row>
    <row r="23" spans="1:18" ht="26.25" customHeight="1">
      <c r="A23" s="49"/>
      <c r="B23" s="17" t="s">
        <v>146</v>
      </c>
      <c r="C23" s="16"/>
      <c r="D23" s="50">
        <v>97.3</v>
      </c>
      <c r="E23" s="50">
        <v>1747.5</v>
      </c>
      <c r="F23" s="50">
        <f>32.4+75.5+0.6-85</f>
        <v>23.5</v>
      </c>
      <c r="G23" s="15">
        <f t="shared" si="1"/>
        <v>-1724</v>
      </c>
      <c r="H23" s="15">
        <f t="shared" si="2"/>
        <v>1.3447782546494993</v>
      </c>
      <c r="K23" s="91"/>
      <c r="L23" s="91"/>
      <c r="M23" s="91"/>
      <c r="N23" s="121"/>
    </row>
    <row r="24" spans="1:18" ht="26.25" customHeight="1">
      <c r="A24" s="49"/>
      <c r="B24" s="17" t="s">
        <v>252</v>
      </c>
      <c r="C24" s="16"/>
      <c r="D24" s="50"/>
      <c r="E24" s="50">
        <v>300</v>
      </c>
      <c r="F24" s="50"/>
      <c r="G24" s="15">
        <f t="shared" si="1"/>
        <v>-300</v>
      </c>
      <c r="H24" s="15">
        <f t="shared" si="2"/>
        <v>0</v>
      </c>
      <c r="J24" s="5">
        <v>1030</v>
      </c>
      <c r="K24" s="91">
        <f>SUM(D50,D105,D157,D176,D246,)</f>
        <v>1296.0999999999997</v>
      </c>
      <c r="L24" s="5">
        <f>SUM(E50,E105,E157,E176,E246,)</f>
        <v>210.3</v>
      </c>
      <c r="M24" s="5">
        <f>SUM(F50,F105,F157,F176,F246,)</f>
        <v>1313.3</v>
      </c>
      <c r="N24" s="121"/>
    </row>
    <row r="25" spans="1:18" ht="26.25" customHeight="1">
      <c r="A25" s="49"/>
      <c r="B25" s="17" t="s">
        <v>257</v>
      </c>
      <c r="C25" s="16"/>
      <c r="D25" s="50"/>
      <c r="E25" s="50"/>
      <c r="F25" s="50">
        <f>115.9+86.5</f>
        <v>202.4</v>
      </c>
      <c r="G25" s="15">
        <f t="shared" si="1"/>
        <v>202.4</v>
      </c>
      <c r="H25" s="56" t="e">
        <f t="shared" si="2"/>
        <v>#DIV/0!</v>
      </c>
      <c r="J25" s="89">
        <v>1031</v>
      </c>
      <c r="K25" s="36"/>
      <c r="L25" s="36"/>
      <c r="M25" s="36"/>
    </row>
    <row r="26" spans="1:18" ht="26.25" customHeight="1">
      <c r="A26" s="49"/>
      <c r="B26" s="17" t="s">
        <v>147</v>
      </c>
      <c r="C26" s="16" t="s">
        <v>203</v>
      </c>
      <c r="D26" s="50">
        <v>87</v>
      </c>
      <c r="E26" s="50">
        <v>540</v>
      </c>
      <c r="F26" s="50">
        <f>43.6+149.6+10.3-180</f>
        <v>23.5</v>
      </c>
      <c r="G26" s="15">
        <f t="shared" si="1"/>
        <v>-516.5</v>
      </c>
      <c r="H26" s="15">
        <f t="shared" si="2"/>
        <v>4.3518518518518521</v>
      </c>
      <c r="J26" s="89">
        <v>1032</v>
      </c>
      <c r="K26" s="36">
        <f>SUM(D51,)</f>
        <v>889.6</v>
      </c>
      <c r="L26" s="36">
        <f t="shared" ref="L26:M26" si="12">SUM(E51,)</f>
        <v>0</v>
      </c>
      <c r="M26" s="36">
        <f t="shared" si="12"/>
        <v>796.9</v>
      </c>
      <c r="N26" s="35"/>
      <c r="O26" s="35"/>
    </row>
    <row r="27" spans="1:18" ht="26.25" customHeight="1">
      <c r="A27" s="49"/>
      <c r="B27" s="17" t="s">
        <v>148</v>
      </c>
      <c r="C27" s="16"/>
      <c r="D27" s="50"/>
      <c r="E27" s="50">
        <v>150</v>
      </c>
      <c r="F27" s="50">
        <f>41.6+54.8</f>
        <v>96.4</v>
      </c>
      <c r="G27" s="15">
        <f t="shared" si="1"/>
        <v>-53.599999999999994</v>
      </c>
      <c r="H27" s="15">
        <f t="shared" si="2"/>
        <v>64.266666666666666</v>
      </c>
      <c r="J27" s="89">
        <v>1033</v>
      </c>
      <c r="K27" s="36">
        <f>SUM(D52)</f>
        <v>228</v>
      </c>
      <c r="L27" s="36">
        <f t="shared" ref="L27:M27" si="13">SUM(E52)</f>
        <v>0</v>
      </c>
      <c r="M27" s="36">
        <f t="shared" si="13"/>
        <v>295.89999999999998</v>
      </c>
      <c r="N27" s="35"/>
      <c r="O27" s="35"/>
      <c r="P27" s="20"/>
    </row>
    <row r="28" spans="1:18" ht="26.25" customHeight="1">
      <c r="A28" s="49"/>
      <c r="B28" s="17" t="s">
        <v>161</v>
      </c>
      <c r="C28" s="16"/>
      <c r="D28" s="50">
        <v>22.1</v>
      </c>
      <c r="E28" s="224">
        <v>15</v>
      </c>
      <c r="F28" s="50">
        <f>75.4+26+27.1</f>
        <v>128.5</v>
      </c>
      <c r="G28" s="15">
        <f t="shared" si="1"/>
        <v>113.5</v>
      </c>
      <c r="H28" s="15">
        <f t="shared" si="2"/>
        <v>856.66666666666663</v>
      </c>
      <c r="J28" s="89">
        <v>1034</v>
      </c>
      <c r="K28" s="36"/>
      <c r="L28" s="36"/>
      <c r="M28" s="36"/>
      <c r="N28" s="35"/>
      <c r="O28" s="35"/>
    </row>
    <row r="29" spans="1:18" ht="26.25" customHeight="1">
      <c r="A29" s="49"/>
      <c r="B29" s="17" t="s">
        <v>222</v>
      </c>
      <c r="C29" s="16"/>
      <c r="D29" s="50">
        <v>3</v>
      </c>
      <c r="E29" s="50">
        <v>27</v>
      </c>
      <c r="F29" s="50"/>
      <c r="G29" s="15">
        <f t="shared" si="1"/>
        <v>-27</v>
      </c>
      <c r="H29" s="15">
        <f t="shared" si="2"/>
        <v>0</v>
      </c>
      <c r="J29" s="89">
        <v>1035</v>
      </c>
      <c r="K29" s="36">
        <f>SUM(D53,D106,D158,D177,D247)</f>
        <v>178.5</v>
      </c>
      <c r="L29" s="36">
        <f>SUM(E53,E106,E158,E177,E247)</f>
        <v>210.3</v>
      </c>
      <c r="M29" s="36">
        <f>SUM(F53,F106,F158,F177,F247)</f>
        <v>220.5</v>
      </c>
      <c r="N29" s="35"/>
      <c r="O29" s="35"/>
    </row>
    <row r="30" spans="1:18" ht="26.25" customHeight="1">
      <c r="A30" s="49"/>
      <c r="B30" s="17" t="s">
        <v>164</v>
      </c>
      <c r="C30" s="16"/>
      <c r="D30" s="50">
        <v>36</v>
      </c>
      <c r="E30" s="50">
        <v>148.5</v>
      </c>
      <c r="F30" s="50">
        <v>80.5</v>
      </c>
      <c r="G30" s="15">
        <f t="shared" si="1"/>
        <v>-68</v>
      </c>
      <c r="H30" s="15">
        <f t="shared" si="2"/>
        <v>54.208754208754208</v>
      </c>
      <c r="K30" s="36"/>
      <c r="L30" s="36"/>
      <c r="M30" s="36"/>
      <c r="N30" s="35"/>
      <c r="O30" s="35"/>
      <c r="R30" s="20"/>
    </row>
    <row r="31" spans="1:18" ht="26.25" customHeight="1">
      <c r="A31" s="49"/>
      <c r="B31" s="17" t="s">
        <v>162</v>
      </c>
      <c r="C31" s="16"/>
      <c r="D31" s="50">
        <v>2.7</v>
      </c>
      <c r="E31" s="50">
        <v>36</v>
      </c>
      <c r="F31" s="50">
        <f>54+20.5</f>
        <v>74.5</v>
      </c>
      <c r="G31" s="15">
        <f t="shared" si="1"/>
        <v>38.5</v>
      </c>
      <c r="H31" s="15">
        <f t="shared" si="2"/>
        <v>206.94444444444446</v>
      </c>
      <c r="J31" s="89">
        <v>9000</v>
      </c>
      <c r="K31" s="20">
        <f>K11+K18</f>
        <v>20632.300000000003</v>
      </c>
      <c r="L31" s="46">
        <f t="shared" ref="L31:M31" si="14">L11+L18</f>
        <v>18830.8</v>
      </c>
      <c r="M31" s="46">
        <f t="shared" si="14"/>
        <v>23700.199999999997</v>
      </c>
      <c r="N31" s="35"/>
      <c r="O31" s="35"/>
    </row>
    <row r="32" spans="1:18" ht="26.25" customHeight="1">
      <c r="A32" s="49"/>
      <c r="B32" s="17" t="s">
        <v>163</v>
      </c>
      <c r="C32" s="16"/>
      <c r="D32" s="50">
        <v>89.1</v>
      </c>
      <c r="E32" s="50">
        <v>120</v>
      </c>
      <c r="F32" s="50">
        <f>19.3</f>
        <v>19.3</v>
      </c>
      <c r="G32" s="15">
        <f t="shared" si="1"/>
        <v>-100.7</v>
      </c>
      <c r="H32" s="15">
        <f t="shared" si="2"/>
        <v>16.083333333333332</v>
      </c>
      <c r="J32" s="89">
        <v>9010</v>
      </c>
      <c r="K32" s="20">
        <f>K12+K19+K26</f>
        <v>54062.899999999994</v>
      </c>
      <c r="L32" s="20">
        <f t="shared" ref="L32:M32" si="15">L12+L19+L26</f>
        <v>68733.5</v>
      </c>
      <c r="M32" s="20">
        <f t="shared" si="15"/>
        <v>72288.899999999994</v>
      </c>
      <c r="N32" s="35"/>
      <c r="O32" s="35"/>
    </row>
    <row r="33" spans="1:15" ht="29.25" customHeight="1">
      <c r="A33" s="49"/>
      <c r="B33" s="23" t="s">
        <v>149</v>
      </c>
      <c r="C33" s="16"/>
      <c r="D33" s="50">
        <v>46.4</v>
      </c>
      <c r="E33" s="50">
        <v>66</v>
      </c>
      <c r="F33" s="50"/>
      <c r="G33" s="15">
        <f t="shared" si="1"/>
        <v>-66</v>
      </c>
      <c r="H33" s="15">
        <f t="shared" si="2"/>
        <v>0</v>
      </c>
      <c r="J33" s="5">
        <v>9020</v>
      </c>
      <c r="K33" s="20">
        <f>K13+K20+K27</f>
        <v>11517.8</v>
      </c>
      <c r="L33" s="2">
        <f t="shared" ref="L33:M33" si="16">L13+L20+L27</f>
        <v>14984.4</v>
      </c>
      <c r="M33" s="2">
        <f t="shared" si="16"/>
        <v>15274.7</v>
      </c>
      <c r="N33" s="35"/>
      <c r="O33" s="35"/>
    </row>
    <row r="34" spans="1:15" ht="29.25" customHeight="1">
      <c r="A34" s="49"/>
      <c r="B34" s="23" t="s">
        <v>365</v>
      </c>
      <c r="C34" s="16"/>
      <c r="D34" s="50">
        <v>26.7</v>
      </c>
      <c r="E34" s="50"/>
      <c r="F34" s="50"/>
      <c r="G34" s="15">
        <f t="shared" si="1"/>
        <v>0</v>
      </c>
      <c r="H34" s="56" t="e">
        <f t="shared" si="2"/>
        <v>#DIV/0!</v>
      </c>
      <c r="J34" s="5">
        <v>9030</v>
      </c>
      <c r="K34" s="20">
        <f>K14+K21</f>
        <v>4758.8</v>
      </c>
      <c r="L34" s="2">
        <f t="shared" ref="L34:M34" si="17">L14+L21</f>
        <v>3387</v>
      </c>
      <c r="M34" s="2">
        <f t="shared" si="17"/>
        <v>6456.2000000000007</v>
      </c>
      <c r="N34" s="35"/>
      <c r="O34" s="35"/>
    </row>
    <row r="35" spans="1:15" ht="26.25" customHeight="1">
      <c r="A35" s="49"/>
      <c r="B35" s="17" t="s">
        <v>246</v>
      </c>
      <c r="C35" s="16"/>
      <c r="D35" s="50"/>
      <c r="E35" s="50">
        <v>11.3</v>
      </c>
      <c r="F35" s="50"/>
      <c r="G35" s="15">
        <f t="shared" si="1"/>
        <v>-11.3</v>
      </c>
      <c r="H35" s="15">
        <f t="shared" si="2"/>
        <v>0</v>
      </c>
      <c r="J35" s="89">
        <v>9040</v>
      </c>
      <c r="K35" s="20">
        <f>K15+K22+K29</f>
        <v>8141.8</v>
      </c>
      <c r="L35" s="46">
        <f t="shared" ref="L35:M35" si="18">L15+L22+L29</f>
        <v>12417.199999999999</v>
      </c>
      <c r="M35" s="46">
        <f t="shared" si="18"/>
        <v>11445.6</v>
      </c>
      <c r="N35" s="2"/>
      <c r="O35" s="35"/>
    </row>
    <row r="36" spans="1:15" ht="26.25" customHeight="1">
      <c r="A36" s="49"/>
      <c r="B36" s="17" t="s">
        <v>206</v>
      </c>
      <c r="C36" s="16"/>
      <c r="D36" s="50">
        <v>14</v>
      </c>
      <c r="E36" s="50"/>
      <c r="F36" s="50">
        <f>43.8</f>
        <v>43.8</v>
      </c>
      <c r="G36" s="15">
        <f t="shared" si="1"/>
        <v>43.8</v>
      </c>
      <c r="H36" s="56" t="e">
        <f t="shared" si="2"/>
        <v>#DIV/0!</v>
      </c>
      <c r="J36" s="5">
        <v>9050</v>
      </c>
      <c r="K36" s="28">
        <f>SUM(K31:K35)</f>
        <v>99113.600000000006</v>
      </c>
      <c r="L36" s="33">
        <f>SUM(L31:L35)</f>
        <v>118352.9</v>
      </c>
      <c r="M36" s="33">
        <f>SUM(M31:M35)</f>
        <v>129165.59999999999</v>
      </c>
      <c r="N36" s="35"/>
      <c r="O36" s="35"/>
    </row>
    <row r="37" spans="1:15" ht="26.25" customHeight="1">
      <c r="A37" s="38" t="s">
        <v>88</v>
      </c>
      <c r="B37" s="22" t="s">
        <v>92</v>
      </c>
      <c r="C37" s="195">
        <v>1020</v>
      </c>
      <c r="D37" s="14">
        <f>D42+D43+D44+D38</f>
        <v>4821.8</v>
      </c>
      <c r="E37" s="14">
        <f>E42+E43+E44+E38</f>
        <v>8335</v>
      </c>
      <c r="F37" s="14">
        <f>F42+F43+F44+F38</f>
        <v>5846.0999999999995</v>
      </c>
      <c r="G37" s="19">
        <f t="shared" si="1"/>
        <v>-2488.9000000000005</v>
      </c>
      <c r="H37" s="19">
        <f t="shared" si="2"/>
        <v>70.139172165566876</v>
      </c>
      <c r="I37" s="85"/>
      <c r="K37" s="20"/>
      <c r="L37" s="20"/>
      <c r="M37" s="121"/>
      <c r="N37" s="35"/>
    </row>
    <row r="38" spans="1:15" ht="26.25" customHeight="1">
      <c r="A38" s="73" t="s">
        <v>237</v>
      </c>
      <c r="B38" s="69" t="s">
        <v>105</v>
      </c>
      <c r="C38" s="70">
        <v>1021</v>
      </c>
      <c r="D38" s="42">
        <f>SUM(D39:D41)</f>
        <v>14.5</v>
      </c>
      <c r="E38" s="42">
        <f t="shared" ref="E38" si="19">SUM(E39:E41)</f>
        <v>11.3</v>
      </c>
      <c r="F38" s="42">
        <f>SUM(F39:F41)</f>
        <v>42.2</v>
      </c>
      <c r="G38" s="43">
        <f t="shared" si="1"/>
        <v>30.900000000000002</v>
      </c>
      <c r="H38" s="43">
        <f t="shared" si="2"/>
        <v>373.45132743362831</v>
      </c>
      <c r="K38" s="20"/>
      <c r="L38" s="46"/>
      <c r="M38" s="46"/>
      <c r="N38" s="35"/>
    </row>
    <row r="39" spans="1:15" ht="26.25" customHeight="1">
      <c r="A39" s="75"/>
      <c r="B39" s="23" t="s">
        <v>221</v>
      </c>
      <c r="C39" s="12"/>
      <c r="D39" s="18">
        <v>6.9</v>
      </c>
      <c r="E39" s="18"/>
      <c r="F39" s="18">
        <v>42.2</v>
      </c>
      <c r="G39" s="15">
        <f t="shared" si="1"/>
        <v>42.2</v>
      </c>
      <c r="H39" s="56" t="e">
        <f t="shared" si="2"/>
        <v>#DIV/0!</v>
      </c>
      <c r="K39" s="20"/>
      <c r="L39" s="46"/>
      <c r="M39" s="46"/>
      <c r="N39" s="35"/>
    </row>
    <row r="40" spans="1:15" ht="26.25" customHeight="1">
      <c r="A40" s="75"/>
      <c r="B40" s="23" t="s">
        <v>159</v>
      </c>
      <c r="C40" s="12"/>
      <c r="D40" s="18">
        <v>3.4</v>
      </c>
      <c r="E40" s="18"/>
      <c r="F40" s="18"/>
      <c r="G40" s="15">
        <f t="shared" si="1"/>
        <v>0</v>
      </c>
      <c r="H40" s="56" t="e">
        <f t="shared" si="2"/>
        <v>#DIV/0!</v>
      </c>
      <c r="K40" s="20"/>
      <c r="L40" s="46"/>
      <c r="M40" s="46"/>
      <c r="N40" s="35"/>
    </row>
    <row r="41" spans="1:15" ht="39.75" customHeight="1">
      <c r="A41" s="38"/>
      <c r="B41" s="17" t="s">
        <v>158</v>
      </c>
      <c r="C41" s="12"/>
      <c r="D41" s="18">
        <v>4.2</v>
      </c>
      <c r="E41" s="18">
        <v>11.3</v>
      </c>
      <c r="F41" s="18"/>
      <c r="G41" s="19">
        <f t="shared" si="1"/>
        <v>-11.3</v>
      </c>
      <c r="H41" s="19">
        <f t="shared" si="2"/>
        <v>0</v>
      </c>
      <c r="K41" s="20"/>
      <c r="L41" s="46"/>
      <c r="M41" s="46"/>
      <c r="N41" s="35"/>
    </row>
    <row r="42" spans="1:15" ht="31.5" customHeight="1">
      <c r="A42" s="39" t="s">
        <v>151</v>
      </c>
      <c r="B42" s="40" t="s">
        <v>2</v>
      </c>
      <c r="C42" s="47">
        <v>1022</v>
      </c>
      <c r="D42" s="42">
        <v>3725.4</v>
      </c>
      <c r="E42" s="42">
        <v>6510.4</v>
      </c>
      <c r="F42" s="42">
        <v>4556.3</v>
      </c>
      <c r="G42" s="43">
        <f t="shared" si="1"/>
        <v>-1954.0999999999995</v>
      </c>
      <c r="H42" s="43">
        <f t="shared" si="2"/>
        <v>69.984947161464746</v>
      </c>
      <c r="K42" s="28"/>
      <c r="L42" s="33"/>
      <c r="M42" s="33"/>
      <c r="O42" s="51"/>
    </row>
    <row r="43" spans="1:15" ht="26.25" customHeight="1">
      <c r="A43" s="39" t="s">
        <v>152</v>
      </c>
      <c r="B43" s="40" t="s">
        <v>3</v>
      </c>
      <c r="C43" s="47">
        <v>1023</v>
      </c>
      <c r="D43" s="42">
        <v>754.6</v>
      </c>
      <c r="E43" s="42">
        <v>1419.3</v>
      </c>
      <c r="F43" s="42">
        <v>974.7</v>
      </c>
      <c r="G43" s="43">
        <f t="shared" si="1"/>
        <v>-444.59999999999991</v>
      </c>
      <c r="H43" s="43">
        <f t="shared" si="2"/>
        <v>68.674698795180731</v>
      </c>
      <c r="J43" s="28"/>
      <c r="L43" s="33"/>
      <c r="M43" s="33"/>
      <c r="O43" s="51"/>
    </row>
    <row r="44" spans="1:15" ht="26.25" customHeight="1">
      <c r="A44" s="39" t="s">
        <v>153</v>
      </c>
      <c r="B44" s="40" t="s">
        <v>154</v>
      </c>
      <c r="C44" s="41">
        <v>1025</v>
      </c>
      <c r="D44" s="42">
        <f>SUM(D45:D49)</f>
        <v>327.3</v>
      </c>
      <c r="E44" s="42">
        <f>SUM(E45:E49)</f>
        <v>394</v>
      </c>
      <c r="F44" s="42">
        <f>SUM(F45:F49)</f>
        <v>272.89999999999998</v>
      </c>
      <c r="G44" s="43">
        <f t="shared" si="1"/>
        <v>-121.10000000000002</v>
      </c>
      <c r="H44" s="43">
        <f t="shared" si="2"/>
        <v>69.263959390862937</v>
      </c>
      <c r="I44" s="36"/>
      <c r="L44" s="33"/>
      <c r="M44" s="33"/>
      <c r="N44" s="52"/>
      <c r="O44" s="52"/>
    </row>
    <row r="45" spans="1:15" ht="26.25" customHeight="1">
      <c r="A45" s="53"/>
      <c r="B45" s="17" t="s">
        <v>164</v>
      </c>
      <c r="C45" s="45"/>
      <c r="D45" s="18">
        <v>14.1</v>
      </c>
      <c r="E45" s="18">
        <v>49</v>
      </c>
      <c r="F45" s="18"/>
      <c r="G45" s="15">
        <f t="shared" si="1"/>
        <v>-49</v>
      </c>
      <c r="H45" s="15">
        <f t="shared" si="2"/>
        <v>0</v>
      </c>
      <c r="N45" s="52"/>
      <c r="O45" s="52"/>
    </row>
    <row r="46" spans="1:15" ht="26.25" customHeight="1">
      <c r="A46" s="53"/>
      <c r="B46" s="17" t="s">
        <v>155</v>
      </c>
      <c r="C46" s="45"/>
      <c r="D46" s="18"/>
      <c r="E46" s="18"/>
      <c r="F46" s="18">
        <v>47.6</v>
      </c>
      <c r="G46" s="15">
        <f t="shared" si="1"/>
        <v>47.6</v>
      </c>
      <c r="H46" s="56" t="e">
        <f t="shared" si="2"/>
        <v>#DIV/0!</v>
      </c>
      <c r="N46" s="52"/>
      <c r="O46" s="52"/>
    </row>
    <row r="47" spans="1:15" ht="26.25" customHeight="1">
      <c r="A47" s="53"/>
      <c r="B47" s="17" t="s">
        <v>165</v>
      </c>
      <c r="C47" s="16"/>
      <c r="D47" s="50"/>
      <c r="E47" s="50"/>
      <c r="F47" s="50">
        <v>4.2</v>
      </c>
      <c r="G47" s="15">
        <f t="shared" si="1"/>
        <v>4.2</v>
      </c>
      <c r="H47" s="56" t="e">
        <f t="shared" si="2"/>
        <v>#DIV/0!</v>
      </c>
      <c r="N47" s="52"/>
      <c r="O47" s="52"/>
    </row>
    <row r="48" spans="1:15" ht="26.25" customHeight="1">
      <c r="A48" s="53"/>
      <c r="B48" s="17" t="s">
        <v>341</v>
      </c>
      <c r="C48" s="45"/>
      <c r="D48" s="18">
        <v>16.2</v>
      </c>
      <c r="E48" s="18">
        <v>30</v>
      </c>
      <c r="F48" s="18">
        <v>23.1</v>
      </c>
      <c r="G48" s="15">
        <f t="shared" si="1"/>
        <v>-6.8999999999999986</v>
      </c>
      <c r="H48" s="15">
        <f t="shared" si="2"/>
        <v>77</v>
      </c>
      <c r="N48" s="52"/>
      <c r="O48" s="52"/>
    </row>
    <row r="49" spans="1:18" ht="27" customHeight="1">
      <c r="A49" s="53"/>
      <c r="B49" s="17" t="s">
        <v>219</v>
      </c>
      <c r="C49" s="45"/>
      <c r="D49" s="18">
        <v>297</v>
      </c>
      <c r="E49" s="18">
        <v>315</v>
      </c>
      <c r="F49" s="18">
        <f>198</f>
        <v>198</v>
      </c>
      <c r="G49" s="15">
        <f t="shared" si="1"/>
        <v>-117</v>
      </c>
      <c r="H49" s="15">
        <f t="shared" si="2"/>
        <v>62.857142857142854</v>
      </c>
      <c r="N49" s="51"/>
      <c r="O49" s="51"/>
    </row>
    <row r="50" spans="1:18" ht="25.5" customHeight="1">
      <c r="A50" s="38" t="s">
        <v>91</v>
      </c>
      <c r="B50" s="194" t="s">
        <v>93</v>
      </c>
      <c r="C50" s="195">
        <v>1030</v>
      </c>
      <c r="D50" s="14">
        <f>D51+D52+D53</f>
        <v>1126.1999999999998</v>
      </c>
      <c r="E50" s="14">
        <f>E51+E52+E53</f>
        <v>22.5</v>
      </c>
      <c r="F50" s="14">
        <f>F51+F52+F53</f>
        <v>1095</v>
      </c>
      <c r="G50" s="19">
        <f t="shared" si="1"/>
        <v>1072.5</v>
      </c>
      <c r="H50" s="19">
        <f t="shared" si="2"/>
        <v>4866.6666666666661</v>
      </c>
      <c r="M50" s="46"/>
    </row>
    <row r="51" spans="1:18" ht="26.25" customHeight="1">
      <c r="A51" s="39" t="s">
        <v>156</v>
      </c>
      <c r="B51" s="40" t="s">
        <v>2</v>
      </c>
      <c r="C51" s="47">
        <v>1032</v>
      </c>
      <c r="D51" s="42">
        <v>889.6</v>
      </c>
      <c r="E51" s="42"/>
      <c r="F51" s="42">
        <v>796.9</v>
      </c>
      <c r="G51" s="43">
        <f t="shared" si="1"/>
        <v>796.9</v>
      </c>
      <c r="H51" s="213" t="e">
        <f t="shared" si="2"/>
        <v>#DIV/0!</v>
      </c>
    </row>
    <row r="52" spans="1:18" ht="23.25" customHeight="1">
      <c r="A52" s="39" t="s">
        <v>157</v>
      </c>
      <c r="B52" s="40" t="s">
        <v>3</v>
      </c>
      <c r="C52" s="47">
        <v>1033</v>
      </c>
      <c r="D52" s="42">
        <v>228</v>
      </c>
      <c r="E52" s="42"/>
      <c r="F52" s="42">
        <v>295.89999999999998</v>
      </c>
      <c r="G52" s="43">
        <f t="shared" si="1"/>
        <v>295.89999999999998</v>
      </c>
      <c r="H52" s="213" t="e">
        <f t="shared" si="2"/>
        <v>#DIV/0!</v>
      </c>
      <c r="L52" s="54"/>
      <c r="M52" s="54"/>
      <c r="R52" s="205"/>
    </row>
    <row r="53" spans="1:18" ht="23.25" customHeight="1">
      <c r="A53" s="39" t="s">
        <v>228</v>
      </c>
      <c r="B53" s="40" t="s">
        <v>93</v>
      </c>
      <c r="C53" s="47">
        <v>1035</v>
      </c>
      <c r="D53" s="42">
        <f>D54</f>
        <v>8.6</v>
      </c>
      <c r="E53" s="42">
        <f>E54</f>
        <v>22.5</v>
      </c>
      <c r="F53" s="42">
        <f>F54</f>
        <v>2.2000000000000002</v>
      </c>
      <c r="G53" s="43">
        <f t="shared" si="1"/>
        <v>-20.3</v>
      </c>
      <c r="H53" s="43">
        <f t="shared" si="2"/>
        <v>9.7777777777777786</v>
      </c>
      <c r="L53" s="54"/>
      <c r="M53" s="54"/>
    </row>
    <row r="54" spans="1:18" ht="23.25" customHeight="1">
      <c r="A54" s="39"/>
      <c r="B54" s="17" t="s">
        <v>227</v>
      </c>
      <c r="C54" s="47"/>
      <c r="D54" s="18">
        <v>8.6</v>
      </c>
      <c r="E54" s="18">
        <v>22.5</v>
      </c>
      <c r="F54" s="18">
        <f>2.2</f>
        <v>2.2000000000000002</v>
      </c>
      <c r="G54" s="43">
        <f t="shared" si="1"/>
        <v>-20.3</v>
      </c>
      <c r="H54" s="43">
        <f t="shared" si="2"/>
        <v>9.7777777777777786</v>
      </c>
      <c r="L54" s="54"/>
      <c r="M54" s="54"/>
    </row>
    <row r="55" spans="1:18" ht="36.75" customHeight="1">
      <c r="A55" s="53" t="s">
        <v>94</v>
      </c>
      <c r="B55" s="57" t="s">
        <v>220</v>
      </c>
      <c r="C55" s="55"/>
      <c r="D55" s="14">
        <f>D57+D89+D105</f>
        <v>1128.8</v>
      </c>
      <c r="E55" s="14">
        <f>E57+E89+E105</f>
        <v>1200.7</v>
      </c>
      <c r="F55" s="14">
        <f>F57+F89+F105</f>
        <v>954.29999999999984</v>
      </c>
      <c r="G55" s="19">
        <f t="shared" si="1"/>
        <v>-246.4000000000002</v>
      </c>
      <c r="H55" s="19">
        <f t="shared" si="2"/>
        <v>79.478637461480787</v>
      </c>
      <c r="I55" s="36"/>
      <c r="J55" s="28"/>
      <c r="K55" s="28">
        <v>954.3</v>
      </c>
      <c r="L55" s="20"/>
    </row>
    <row r="56" spans="1:18" ht="30.75" customHeight="1">
      <c r="A56" s="39"/>
      <c r="B56" s="68" t="s">
        <v>86</v>
      </c>
      <c r="C56" s="47"/>
      <c r="D56" s="42"/>
      <c r="E56" s="42"/>
      <c r="F56" s="42"/>
      <c r="G56" s="43"/>
      <c r="H56" s="43"/>
      <c r="K56" s="28"/>
    </row>
    <row r="57" spans="1:18" ht="27.75" customHeight="1">
      <c r="A57" s="53" t="s">
        <v>500</v>
      </c>
      <c r="B57" s="57" t="s">
        <v>90</v>
      </c>
      <c r="C57" s="55">
        <v>1010</v>
      </c>
      <c r="D57" s="14">
        <f>D58+D64+D65+D66+D67</f>
        <v>871.5</v>
      </c>
      <c r="E57" s="14">
        <f>E58+E64+E65+E67</f>
        <v>896.6</v>
      </c>
      <c r="F57" s="14">
        <f>F58+F64+F65+F67+F66</f>
        <v>715.59999999999991</v>
      </c>
      <c r="G57" s="19">
        <f t="shared" si="1"/>
        <v>-181.00000000000011</v>
      </c>
      <c r="H57" s="19">
        <f t="shared" si="2"/>
        <v>79.812625474012918</v>
      </c>
    </row>
    <row r="58" spans="1:18" ht="27.75" customHeight="1">
      <c r="A58" s="39" t="s">
        <v>501</v>
      </c>
      <c r="B58" s="40" t="s">
        <v>105</v>
      </c>
      <c r="C58" s="47">
        <v>1011</v>
      </c>
      <c r="D58" s="42">
        <f>SUM(D59:D63)</f>
        <v>213.1</v>
      </c>
      <c r="E58" s="42">
        <f>SUM(E59:E63)</f>
        <v>206</v>
      </c>
      <c r="F58" s="42">
        <f>SUM(F59:F63)</f>
        <v>46.100000000000009</v>
      </c>
      <c r="G58" s="43">
        <f t="shared" si="1"/>
        <v>-159.89999999999998</v>
      </c>
      <c r="H58" s="43">
        <f t="shared" si="2"/>
        <v>22.378640776699033</v>
      </c>
    </row>
    <row r="59" spans="1:18" ht="27.75" customHeight="1">
      <c r="A59" s="39"/>
      <c r="B59" s="17" t="s">
        <v>136</v>
      </c>
      <c r="C59" s="16"/>
      <c r="D59" s="18">
        <v>34.5</v>
      </c>
      <c r="E59" s="18">
        <v>65</v>
      </c>
      <c r="F59" s="18">
        <v>8.5</v>
      </c>
      <c r="G59" s="15">
        <f t="shared" si="1"/>
        <v>-56.5</v>
      </c>
      <c r="H59" s="43">
        <f t="shared" si="2"/>
        <v>13.076923076923078</v>
      </c>
    </row>
    <row r="60" spans="1:18" ht="22.5" customHeight="1">
      <c r="A60" s="39"/>
      <c r="B60" s="17" t="s">
        <v>137</v>
      </c>
      <c r="C60" s="16"/>
      <c r="D60" s="18">
        <v>6.5</v>
      </c>
      <c r="E60" s="18">
        <v>15</v>
      </c>
      <c r="F60" s="18"/>
      <c r="G60" s="15">
        <f t="shared" si="1"/>
        <v>-15</v>
      </c>
      <c r="H60" s="43">
        <f t="shared" si="2"/>
        <v>0</v>
      </c>
    </row>
    <row r="61" spans="1:18" ht="27.75" customHeight="1">
      <c r="A61" s="39"/>
      <c r="B61" s="17" t="s">
        <v>221</v>
      </c>
      <c r="C61" s="16"/>
      <c r="D61" s="18">
        <v>13.9</v>
      </c>
      <c r="E61" s="18">
        <v>15</v>
      </c>
      <c r="F61" s="18">
        <v>1.8</v>
      </c>
      <c r="G61" s="15">
        <f t="shared" si="1"/>
        <v>-13.2</v>
      </c>
      <c r="H61" s="43">
        <f t="shared" si="2"/>
        <v>12.000000000000002</v>
      </c>
    </row>
    <row r="62" spans="1:18" ht="39" customHeight="1">
      <c r="A62" s="39"/>
      <c r="B62" s="17" t="s">
        <v>158</v>
      </c>
      <c r="C62" s="16"/>
      <c r="D62" s="18">
        <v>134.19999999999999</v>
      </c>
      <c r="E62" s="18">
        <v>80</v>
      </c>
      <c r="F62" s="18">
        <f>124.2-115</f>
        <v>9.2000000000000028</v>
      </c>
      <c r="G62" s="15">
        <f t="shared" si="1"/>
        <v>-70.8</v>
      </c>
      <c r="H62" s="43">
        <f t="shared" si="2"/>
        <v>11.500000000000004</v>
      </c>
    </row>
    <row r="63" spans="1:18" ht="25.5" customHeight="1">
      <c r="A63" s="39"/>
      <c r="B63" s="116" t="s">
        <v>159</v>
      </c>
      <c r="C63" s="16"/>
      <c r="D63" s="18">
        <v>24</v>
      </c>
      <c r="E63" s="18">
        <v>31</v>
      </c>
      <c r="F63" s="18">
        <v>26.6</v>
      </c>
      <c r="G63" s="15">
        <f t="shared" si="1"/>
        <v>-4.3999999999999986</v>
      </c>
      <c r="H63" s="43">
        <f t="shared" si="2"/>
        <v>85.806451612903231</v>
      </c>
    </row>
    <row r="64" spans="1:18" ht="25.5" customHeight="1">
      <c r="A64" s="39" t="s">
        <v>502</v>
      </c>
      <c r="B64" s="58" t="s">
        <v>2</v>
      </c>
      <c r="C64" s="47">
        <v>1012</v>
      </c>
      <c r="D64" s="42">
        <v>255.7</v>
      </c>
      <c r="E64" s="42">
        <v>210</v>
      </c>
      <c r="F64" s="42">
        <v>173.9</v>
      </c>
      <c r="G64" s="43">
        <f t="shared" si="1"/>
        <v>-36.099999999999994</v>
      </c>
      <c r="H64" s="43">
        <f t="shared" si="2"/>
        <v>82.80952380952381</v>
      </c>
      <c r="K64" s="225"/>
    </row>
    <row r="65" spans="1:9" ht="25.5" customHeight="1">
      <c r="A65" s="39" t="s">
        <v>503</v>
      </c>
      <c r="B65" s="58" t="s">
        <v>3</v>
      </c>
      <c r="C65" s="47">
        <v>1013</v>
      </c>
      <c r="D65" s="42">
        <v>56.3</v>
      </c>
      <c r="E65" s="42">
        <v>46.2</v>
      </c>
      <c r="F65" s="42">
        <v>36.4</v>
      </c>
      <c r="G65" s="43">
        <f t="shared" si="1"/>
        <v>-9.8000000000000043</v>
      </c>
      <c r="H65" s="43">
        <f t="shared" si="2"/>
        <v>78.787878787878782</v>
      </c>
    </row>
    <row r="66" spans="1:9" ht="25.5" customHeight="1">
      <c r="A66" s="39" t="s">
        <v>504</v>
      </c>
      <c r="B66" s="58" t="s">
        <v>4</v>
      </c>
      <c r="C66" s="47">
        <v>1014</v>
      </c>
      <c r="D66" s="42">
        <v>106.2</v>
      </c>
      <c r="E66" s="42"/>
      <c r="F66" s="42">
        <v>98</v>
      </c>
      <c r="G66" s="43">
        <f t="shared" si="1"/>
        <v>98</v>
      </c>
      <c r="H66" s="213" t="e">
        <f t="shared" si="2"/>
        <v>#DIV/0!</v>
      </c>
      <c r="I66" s="20"/>
    </row>
    <row r="67" spans="1:9" ht="25.5" customHeight="1">
      <c r="A67" s="39" t="s">
        <v>505</v>
      </c>
      <c r="B67" s="59" t="s">
        <v>97</v>
      </c>
      <c r="C67" s="47">
        <v>1015</v>
      </c>
      <c r="D67" s="42">
        <f>SUM(D68:D88)</f>
        <v>240.2</v>
      </c>
      <c r="E67" s="42">
        <f>SUM(E68:E88)</f>
        <v>434.40000000000003</v>
      </c>
      <c r="F67" s="42">
        <f>SUM(F68:F88)</f>
        <v>361.2</v>
      </c>
      <c r="G67" s="43">
        <f t="shared" si="1"/>
        <v>-73.200000000000045</v>
      </c>
      <c r="H67" s="43">
        <f t="shared" si="2"/>
        <v>83.149171270718227</v>
      </c>
      <c r="I67" s="20"/>
    </row>
    <row r="68" spans="1:9" ht="25.5" customHeight="1">
      <c r="A68" s="53"/>
      <c r="B68" s="21" t="s">
        <v>143</v>
      </c>
      <c r="C68" s="16"/>
      <c r="D68" s="18">
        <v>0.2</v>
      </c>
      <c r="E68" s="18">
        <v>11.3</v>
      </c>
      <c r="F68" s="18"/>
      <c r="G68" s="15">
        <f t="shared" si="1"/>
        <v>-11.3</v>
      </c>
      <c r="H68" s="43">
        <f t="shared" si="2"/>
        <v>0</v>
      </c>
    </row>
    <row r="69" spans="1:9" ht="25.5" customHeight="1">
      <c r="A69" s="53"/>
      <c r="B69" s="21" t="s">
        <v>147</v>
      </c>
      <c r="C69" s="16"/>
      <c r="D69" s="18">
        <v>10.1</v>
      </c>
      <c r="E69" s="18">
        <v>60</v>
      </c>
      <c r="F69" s="18">
        <v>36.4</v>
      </c>
      <c r="G69" s="15">
        <f t="shared" si="1"/>
        <v>-23.6</v>
      </c>
      <c r="H69" s="43">
        <f t="shared" si="2"/>
        <v>60.666666666666671</v>
      </c>
    </row>
    <row r="70" spans="1:9" ht="25.5" customHeight="1">
      <c r="A70" s="53"/>
      <c r="B70" s="21" t="s">
        <v>222</v>
      </c>
      <c r="C70" s="16"/>
      <c r="D70" s="18">
        <v>19.100000000000001</v>
      </c>
      <c r="E70" s="18"/>
      <c r="F70" s="18">
        <f>18.3+10.5</f>
        <v>28.8</v>
      </c>
      <c r="G70" s="15">
        <f t="shared" si="1"/>
        <v>28.8</v>
      </c>
      <c r="H70" s="213" t="e">
        <f t="shared" si="2"/>
        <v>#DIV/0!</v>
      </c>
    </row>
    <row r="71" spans="1:9" ht="25.5" customHeight="1">
      <c r="A71" s="53"/>
      <c r="B71" s="21" t="s">
        <v>160</v>
      </c>
      <c r="C71" s="16"/>
      <c r="D71" s="18">
        <v>0.8</v>
      </c>
      <c r="E71" s="18">
        <v>3</v>
      </c>
      <c r="F71" s="18"/>
      <c r="G71" s="15">
        <f t="shared" si="1"/>
        <v>-3</v>
      </c>
      <c r="H71" s="43">
        <f t="shared" si="2"/>
        <v>0</v>
      </c>
    </row>
    <row r="72" spans="1:9" ht="25.5" customHeight="1">
      <c r="A72" s="53"/>
      <c r="B72" s="21" t="s">
        <v>161</v>
      </c>
      <c r="C72" s="16"/>
      <c r="D72" s="18">
        <v>42.7</v>
      </c>
      <c r="E72" s="18">
        <v>60</v>
      </c>
      <c r="F72" s="18">
        <f>2.2+93.9-6.1</f>
        <v>90.000000000000014</v>
      </c>
      <c r="G72" s="15">
        <f t="shared" si="1"/>
        <v>30.000000000000014</v>
      </c>
      <c r="H72" s="43">
        <f t="shared" si="2"/>
        <v>150.00000000000003</v>
      </c>
    </row>
    <row r="73" spans="1:9" ht="25.5" customHeight="1">
      <c r="A73" s="53"/>
      <c r="B73" s="21" t="s">
        <v>149</v>
      </c>
      <c r="C73" s="16"/>
      <c r="D73" s="18">
        <v>24.7</v>
      </c>
      <c r="E73" s="18">
        <v>33</v>
      </c>
      <c r="F73" s="18">
        <f>110.1-53.9</f>
        <v>56.199999999999996</v>
      </c>
      <c r="G73" s="15">
        <f t="shared" si="1"/>
        <v>23.199999999999996</v>
      </c>
      <c r="H73" s="43">
        <f t="shared" si="2"/>
        <v>170.30303030303028</v>
      </c>
    </row>
    <row r="74" spans="1:9" ht="25.5" customHeight="1">
      <c r="A74" s="53"/>
      <c r="B74" s="21" t="s">
        <v>162</v>
      </c>
      <c r="C74" s="16"/>
      <c r="D74" s="18">
        <v>9</v>
      </c>
      <c r="E74" s="18">
        <v>18</v>
      </c>
      <c r="F74" s="18">
        <v>2.7</v>
      </c>
      <c r="G74" s="15">
        <f t="shared" ref="G74:G146" si="20">F74-E74</f>
        <v>-15.3</v>
      </c>
      <c r="H74" s="43">
        <f t="shared" ref="H74:H146" si="21">(F74/E74)*100</f>
        <v>15.000000000000002</v>
      </c>
    </row>
    <row r="75" spans="1:9" ht="25.5" customHeight="1">
      <c r="A75" s="53"/>
      <c r="B75" s="21" t="s">
        <v>205</v>
      </c>
      <c r="C75" s="16"/>
      <c r="D75" s="18">
        <v>5.8</v>
      </c>
      <c r="E75" s="18">
        <v>37.5</v>
      </c>
      <c r="F75" s="18">
        <v>5.7</v>
      </c>
      <c r="G75" s="15">
        <f t="shared" si="20"/>
        <v>-31.8</v>
      </c>
      <c r="H75" s="43">
        <f t="shared" si="21"/>
        <v>15.2</v>
      </c>
    </row>
    <row r="76" spans="1:9" ht="25.5" customHeight="1">
      <c r="A76" s="53"/>
      <c r="B76" s="60" t="s">
        <v>223</v>
      </c>
      <c r="C76" s="16"/>
      <c r="D76" s="18">
        <v>75.599999999999994</v>
      </c>
      <c r="E76" s="18">
        <v>150</v>
      </c>
      <c r="F76" s="18"/>
      <c r="G76" s="15">
        <f t="shared" si="20"/>
        <v>-150</v>
      </c>
      <c r="H76" s="43">
        <f t="shared" si="21"/>
        <v>0</v>
      </c>
    </row>
    <row r="77" spans="1:9" ht="25.5" customHeight="1">
      <c r="A77" s="53"/>
      <c r="B77" s="60" t="s">
        <v>273</v>
      </c>
      <c r="C77" s="16"/>
      <c r="D77" s="18"/>
      <c r="E77" s="18">
        <v>10</v>
      </c>
      <c r="F77" s="18">
        <v>5.4</v>
      </c>
      <c r="G77" s="15">
        <f t="shared" si="20"/>
        <v>-4.5999999999999996</v>
      </c>
      <c r="H77" s="43">
        <f t="shared" si="21"/>
        <v>54</v>
      </c>
    </row>
    <row r="78" spans="1:9" ht="25.5" customHeight="1">
      <c r="A78" s="53"/>
      <c r="B78" s="60" t="s">
        <v>424</v>
      </c>
      <c r="C78" s="16"/>
      <c r="D78" s="18"/>
      <c r="E78" s="18">
        <v>1.5</v>
      </c>
      <c r="F78" s="18">
        <v>5.7</v>
      </c>
      <c r="G78" s="15">
        <f t="shared" si="20"/>
        <v>4.2</v>
      </c>
      <c r="H78" s="43">
        <f t="shared" si="21"/>
        <v>380</v>
      </c>
    </row>
    <row r="79" spans="1:9" ht="27.75" customHeight="1">
      <c r="A79" s="53"/>
      <c r="B79" s="17" t="s">
        <v>225</v>
      </c>
      <c r="C79" s="16"/>
      <c r="D79" s="18">
        <v>1.5</v>
      </c>
      <c r="E79" s="18"/>
      <c r="F79" s="18"/>
      <c r="G79" s="15">
        <f t="shared" si="20"/>
        <v>0</v>
      </c>
      <c r="H79" s="213" t="e">
        <f t="shared" si="21"/>
        <v>#DIV/0!</v>
      </c>
    </row>
    <row r="80" spans="1:9" ht="27.75" customHeight="1">
      <c r="A80" s="53"/>
      <c r="B80" s="17" t="s">
        <v>272</v>
      </c>
      <c r="C80" s="16"/>
      <c r="D80" s="18">
        <v>13.6</v>
      </c>
      <c r="E80" s="18"/>
      <c r="F80" s="18"/>
      <c r="G80" s="15">
        <f t="shared" si="20"/>
        <v>0</v>
      </c>
      <c r="H80" s="213" t="e">
        <f t="shared" si="21"/>
        <v>#DIV/0!</v>
      </c>
    </row>
    <row r="81" spans="1:8" ht="27.75" customHeight="1">
      <c r="A81" s="53"/>
      <c r="B81" s="17" t="s">
        <v>207</v>
      </c>
      <c r="C81" s="16"/>
      <c r="D81" s="18">
        <v>4.5</v>
      </c>
      <c r="E81" s="18">
        <v>6</v>
      </c>
      <c r="F81" s="18">
        <v>2.9</v>
      </c>
      <c r="G81" s="15">
        <f t="shared" si="20"/>
        <v>-3.1</v>
      </c>
      <c r="H81" s="43">
        <f t="shared" si="21"/>
        <v>48.333333333333336</v>
      </c>
    </row>
    <row r="82" spans="1:8" ht="27.75" customHeight="1">
      <c r="A82" s="53"/>
      <c r="B82" s="116" t="s">
        <v>166</v>
      </c>
      <c r="C82" s="16"/>
      <c r="D82" s="18"/>
      <c r="E82" s="18">
        <v>8</v>
      </c>
      <c r="F82" s="18">
        <v>57</v>
      </c>
      <c r="G82" s="15">
        <f t="shared" si="20"/>
        <v>49</v>
      </c>
      <c r="H82" s="43">
        <f t="shared" si="21"/>
        <v>712.5</v>
      </c>
    </row>
    <row r="83" spans="1:8" ht="27.75" customHeight="1">
      <c r="A83" s="53"/>
      <c r="B83" s="61" t="s">
        <v>167</v>
      </c>
      <c r="C83" s="16"/>
      <c r="D83" s="18">
        <v>6.4</v>
      </c>
      <c r="E83" s="18">
        <v>9.8000000000000007</v>
      </c>
      <c r="F83" s="18">
        <v>5.6</v>
      </c>
      <c r="G83" s="15">
        <f t="shared" si="20"/>
        <v>-4.2000000000000011</v>
      </c>
      <c r="H83" s="43">
        <f t="shared" si="21"/>
        <v>57.142857142857139</v>
      </c>
    </row>
    <row r="84" spans="1:8" ht="27.75" customHeight="1">
      <c r="A84" s="53"/>
      <c r="B84" s="26" t="s">
        <v>168</v>
      </c>
      <c r="C84" s="16"/>
      <c r="D84" s="18">
        <v>16.600000000000001</v>
      </c>
      <c r="E84" s="18">
        <v>15</v>
      </c>
      <c r="F84" s="18">
        <v>30.8</v>
      </c>
      <c r="G84" s="15">
        <f t="shared" si="20"/>
        <v>15.8</v>
      </c>
      <c r="H84" s="43">
        <f t="shared" si="21"/>
        <v>205.33333333333331</v>
      </c>
    </row>
    <row r="85" spans="1:8" ht="27.75" customHeight="1">
      <c r="A85" s="53"/>
      <c r="B85" s="23" t="s">
        <v>169</v>
      </c>
      <c r="C85" s="16"/>
      <c r="D85" s="18"/>
      <c r="E85" s="18"/>
      <c r="F85" s="18">
        <v>0.4</v>
      </c>
      <c r="G85" s="15">
        <f t="shared" si="20"/>
        <v>0.4</v>
      </c>
      <c r="H85" s="213" t="e">
        <f t="shared" si="21"/>
        <v>#DIV/0!</v>
      </c>
    </row>
    <row r="86" spans="1:8" ht="27.75" customHeight="1">
      <c r="A86" s="53"/>
      <c r="B86" s="191" t="s">
        <v>484</v>
      </c>
      <c r="C86" s="16"/>
      <c r="D86" s="18"/>
      <c r="E86" s="18"/>
      <c r="F86" s="18">
        <v>5.6</v>
      </c>
      <c r="G86" s="15">
        <f t="shared" si="20"/>
        <v>5.6</v>
      </c>
      <c r="H86" s="213" t="e">
        <f t="shared" si="21"/>
        <v>#DIV/0!</v>
      </c>
    </row>
    <row r="87" spans="1:8" ht="27.75" customHeight="1">
      <c r="A87" s="53"/>
      <c r="B87" s="61" t="s">
        <v>206</v>
      </c>
      <c r="C87" s="47"/>
      <c r="D87" s="18">
        <v>2</v>
      </c>
      <c r="E87" s="276"/>
      <c r="F87" s="182">
        <v>12.7</v>
      </c>
      <c r="G87" s="43">
        <f t="shared" si="20"/>
        <v>12.7</v>
      </c>
      <c r="H87" s="213" t="e">
        <f t="shared" si="21"/>
        <v>#DIV/0!</v>
      </c>
    </row>
    <row r="88" spans="1:8" ht="27.75" customHeight="1">
      <c r="A88" s="53"/>
      <c r="B88" s="61" t="s">
        <v>246</v>
      </c>
      <c r="C88" s="47"/>
      <c r="D88" s="18">
        <v>7.6</v>
      </c>
      <c r="E88" s="18">
        <v>11.3</v>
      </c>
      <c r="F88" s="18">
        <f>15.3</f>
        <v>15.3</v>
      </c>
      <c r="G88" s="43">
        <f t="shared" si="20"/>
        <v>4</v>
      </c>
      <c r="H88" s="43">
        <f t="shared" si="21"/>
        <v>135.39823008849555</v>
      </c>
    </row>
    <row r="89" spans="1:8" ht="27.75" customHeight="1">
      <c r="A89" s="53" t="s">
        <v>344</v>
      </c>
      <c r="B89" s="62" t="s">
        <v>92</v>
      </c>
      <c r="C89" s="63">
        <v>1020</v>
      </c>
      <c r="D89" s="42">
        <f>D90+D94</f>
        <v>256.7</v>
      </c>
      <c r="E89" s="42">
        <f>E90+E94</f>
        <v>188.3</v>
      </c>
      <c r="F89" s="42">
        <f>F90+F94</f>
        <v>191.69999999999996</v>
      </c>
      <c r="G89" s="43">
        <f t="shared" si="20"/>
        <v>3.3999999999999488</v>
      </c>
      <c r="H89" s="43">
        <f t="shared" si="21"/>
        <v>101.80562931492297</v>
      </c>
    </row>
    <row r="90" spans="1:8" ht="27.75" customHeight="1">
      <c r="A90" s="39" t="s">
        <v>345</v>
      </c>
      <c r="B90" s="64" t="s">
        <v>105</v>
      </c>
      <c r="C90" s="41">
        <v>1021</v>
      </c>
      <c r="D90" s="42">
        <f>SUM(D91:D93)</f>
        <v>128.19999999999999</v>
      </c>
      <c r="E90" s="42">
        <f>SUM(E91:E93)</f>
        <v>0</v>
      </c>
      <c r="F90" s="42">
        <f>SUM(F91:F93)</f>
        <v>0</v>
      </c>
      <c r="G90" s="43">
        <f t="shared" si="20"/>
        <v>0</v>
      </c>
      <c r="H90" s="213" t="e">
        <f t="shared" si="21"/>
        <v>#DIV/0!</v>
      </c>
    </row>
    <row r="91" spans="1:8" ht="27.75" customHeight="1">
      <c r="A91" s="39"/>
      <c r="B91" s="60" t="s">
        <v>159</v>
      </c>
      <c r="C91" s="41"/>
      <c r="D91" s="18">
        <v>36.9</v>
      </c>
      <c r="E91" s="42"/>
      <c r="F91" s="18"/>
      <c r="G91" s="43">
        <f t="shared" si="20"/>
        <v>0</v>
      </c>
      <c r="H91" s="213" t="e">
        <f t="shared" si="21"/>
        <v>#DIV/0!</v>
      </c>
    </row>
    <row r="92" spans="1:8" ht="27.75" customHeight="1">
      <c r="A92" s="39"/>
      <c r="B92" s="60" t="s">
        <v>221</v>
      </c>
      <c r="C92" s="41"/>
      <c r="D92" s="18">
        <v>1.9</v>
      </c>
      <c r="E92" s="42"/>
      <c r="F92" s="18"/>
      <c r="G92" s="43">
        <f t="shared" si="20"/>
        <v>0</v>
      </c>
      <c r="H92" s="213" t="e">
        <f t="shared" si="21"/>
        <v>#DIV/0!</v>
      </c>
    </row>
    <row r="93" spans="1:8" ht="40.5" customHeight="1">
      <c r="A93" s="39"/>
      <c r="B93" s="17" t="s">
        <v>158</v>
      </c>
      <c r="C93" s="45"/>
      <c r="D93" s="18">
        <v>89.4</v>
      </c>
      <c r="E93" s="18"/>
      <c r="F93" s="18"/>
      <c r="G93" s="43">
        <f t="shared" si="20"/>
        <v>0</v>
      </c>
      <c r="H93" s="213" t="e">
        <f t="shared" si="21"/>
        <v>#DIV/0!</v>
      </c>
    </row>
    <row r="94" spans="1:8" ht="27.75" customHeight="1">
      <c r="A94" s="39" t="s">
        <v>346</v>
      </c>
      <c r="B94" s="59" t="s">
        <v>171</v>
      </c>
      <c r="C94" s="41">
        <v>1025</v>
      </c>
      <c r="D94" s="42">
        <f>SUM(D95:D104)</f>
        <v>128.5</v>
      </c>
      <c r="E94" s="42">
        <f>SUM(E95:E104)</f>
        <v>188.3</v>
      </c>
      <c r="F94" s="42">
        <f>SUM(F95:F104)</f>
        <v>191.69999999999996</v>
      </c>
      <c r="G94" s="43">
        <f t="shared" si="20"/>
        <v>3.3999999999999488</v>
      </c>
      <c r="H94" s="43">
        <f t="shared" si="21"/>
        <v>101.80562931492297</v>
      </c>
    </row>
    <row r="95" spans="1:8" ht="27.75" customHeight="1">
      <c r="A95" s="53"/>
      <c r="B95" s="25" t="s">
        <v>150</v>
      </c>
      <c r="C95" s="45"/>
      <c r="D95" s="18">
        <v>71.099999999999994</v>
      </c>
      <c r="E95" s="18">
        <v>135</v>
      </c>
      <c r="F95" s="18">
        <f>78</f>
        <v>78</v>
      </c>
      <c r="G95" s="15">
        <f t="shared" si="20"/>
        <v>-57</v>
      </c>
      <c r="H95" s="43">
        <f t="shared" si="21"/>
        <v>57.777777777777771</v>
      </c>
    </row>
    <row r="96" spans="1:8" ht="27.75" customHeight="1">
      <c r="A96" s="53"/>
      <c r="B96" s="25" t="s">
        <v>143</v>
      </c>
      <c r="C96" s="45"/>
      <c r="D96" s="18">
        <v>4.2</v>
      </c>
      <c r="E96" s="18"/>
      <c r="F96" s="18"/>
      <c r="G96" s="15">
        <f t="shared" si="20"/>
        <v>0</v>
      </c>
      <c r="H96" s="213" t="e">
        <f t="shared" si="21"/>
        <v>#DIV/0!</v>
      </c>
    </row>
    <row r="97" spans="1:15" ht="27.75" customHeight="1">
      <c r="A97" s="53"/>
      <c r="B97" s="21" t="s">
        <v>162</v>
      </c>
      <c r="C97" s="45"/>
      <c r="D97" s="18">
        <v>0.9</v>
      </c>
      <c r="E97" s="18">
        <v>26</v>
      </c>
      <c r="F97" s="18">
        <f>41.6</f>
        <v>41.6</v>
      </c>
      <c r="G97" s="15">
        <f t="shared" si="20"/>
        <v>15.600000000000001</v>
      </c>
      <c r="H97" s="43">
        <f t="shared" si="21"/>
        <v>160</v>
      </c>
    </row>
    <row r="98" spans="1:15" ht="27.75" customHeight="1">
      <c r="A98" s="53"/>
      <c r="B98" s="21" t="s">
        <v>155</v>
      </c>
      <c r="C98" s="45"/>
      <c r="D98" s="18">
        <v>23.5</v>
      </c>
      <c r="E98" s="18">
        <v>4.5</v>
      </c>
      <c r="F98" s="18"/>
      <c r="G98" s="15">
        <f t="shared" si="20"/>
        <v>-4.5</v>
      </c>
      <c r="H98" s="43">
        <f t="shared" si="21"/>
        <v>0</v>
      </c>
    </row>
    <row r="99" spans="1:15" ht="27.75" customHeight="1">
      <c r="A99" s="53"/>
      <c r="B99" s="21" t="s">
        <v>177</v>
      </c>
      <c r="C99" s="45"/>
      <c r="D99" s="18">
        <v>12.8</v>
      </c>
      <c r="E99" s="18"/>
      <c r="F99" s="18"/>
      <c r="G99" s="15">
        <f t="shared" si="20"/>
        <v>0</v>
      </c>
      <c r="H99" s="213" t="e">
        <f t="shared" si="21"/>
        <v>#DIV/0!</v>
      </c>
    </row>
    <row r="100" spans="1:15" ht="27.75" customHeight="1">
      <c r="A100" s="53"/>
      <c r="B100" s="17" t="s">
        <v>164</v>
      </c>
      <c r="C100" s="45"/>
      <c r="D100" s="18">
        <v>12</v>
      </c>
      <c r="E100" s="18">
        <v>21</v>
      </c>
      <c r="F100" s="18">
        <f>83.5-58</f>
        <v>25.5</v>
      </c>
      <c r="G100" s="15">
        <f t="shared" si="20"/>
        <v>4.5</v>
      </c>
      <c r="H100" s="43">
        <f t="shared" si="21"/>
        <v>121.42857142857142</v>
      </c>
    </row>
    <row r="101" spans="1:15" ht="27.75" customHeight="1">
      <c r="A101" s="53"/>
      <c r="B101" s="21" t="s">
        <v>226</v>
      </c>
      <c r="C101" s="45"/>
      <c r="D101" s="18">
        <v>2.2999999999999998</v>
      </c>
      <c r="E101" s="18"/>
      <c r="F101" s="18"/>
      <c r="G101" s="15">
        <f t="shared" si="20"/>
        <v>0</v>
      </c>
      <c r="H101" s="213" t="e">
        <f t="shared" si="21"/>
        <v>#DIV/0!</v>
      </c>
    </row>
    <row r="102" spans="1:15" ht="27.75" customHeight="1">
      <c r="A102" s="53"/>
      <c r="B102" s="21" t="s">
        <v>258</v>
      </c>
      <c r="C102" s="45"/>
      <c r="D102" s="18"/>
      <c r="E102" s="18"/>
      <c r="F102" s="18">
        <f>39.8</f>
        <v>39.799999999999997</v>
      </c>
      <c r="G102" s="15">
        <f t="shared" si="20"/>
        <v>39.799999999999997</v>
      </c>
      <c r="H102" s="213" t="e">
        <f t="shared" si="21"/>
        <v>#DIV/0!</v>
      </c>
    </row>
    <row r="103" spans="1:15" ht="27.75" customHeight="1">
      <c r="A103" s="53"/>
      <c r="B103" s="21" t="s">
        <v>243</v>
      </c>
      <c r="C103" s="45"/>
      <c r="D103" s="18"/>
      <c r="E103" s="18"/>
      <c r="F103" s="18">
        <f>3.6</f>
        <v>3.6</v>
      </c>
      <c r="G103" s="15">
        <f t="shared" si="20"/>
        <v>3.6</v>
      </c>
      <c r="H103" s="213" t="e">
        <f t="shared" si="21"/>
        <v>#DIV/0!</v>
      </c>
    </row>
    <row r="104" spans="1:15" ht="27.75" customHeight="1">
      <c r="A104" s="53"/>
      <c r="B104" s="21" t="s">
        <v>224</v>
      </c>
      <c r="C104" s="45"/>
      <c r="D104" s="18">
        <v>1.7</v>
      </c>
      <c r="E104" s="18">
        <v>1.8</v>
      </c>
      <c r="F104" s="18">
        <v>3.2</v>
      </c>
      <c r="G104" s="15">
        <f t="shared" si="20"/>
        <v>1.4000000000000001</v>
      </c>
      <c r="H104" s="43">
        <f t="shared" si="21"/>
        <v>177.7777777777778</v>
      </c>
    </row>
    <row r="105" spans="1:15" ht="27.75" customHeight="1">
      <c r="A105" s="53" t="s">
        <v>506</v>
      </c>
      <c r="B105" s="65" t="s">
        <v>93</v>
      </c>
      <c r="C105" s="63">
        <v>1030</v>
      </c>
      <c r="D105" s="42">
        <f>D106</f>
        <v>0.6</v>
      </c>
      <c r="E105" s="42">
        <f>E106</f>
        <v>115.8</v>
      </c>
      <c r="F105" s="42">
        <f>F106</f>
        <v>47</v>
      </c>
      <c r="G105" s="43">
        <f t="shared" si="20"/>
        <v>-68.8</v>
      </c>
      <c r="H105" s="43">
        <f t="shared" si="21"/>
        <v>40.587219343696027</v>
      </c>
    </row>
    <row r="106" spans="1:15" ht="27.75" customHeight="1">
      <c r="A106" s="39" t="s">
        <v>347</v>
      </c>
      <c r="B106" s="80" t="s">
        <v>93</v>
      </c>
      <c r="C106" s="47">
        <v>1035</v>
      </c>
      <c r="D106" s="42">
        <f>SUM(D107:D109)</f>
        <v>0.6</v>
      </c>
      <c r="E106" s="42">
        <f>SUM(E109:E109)</f>
        <v>115.8</v>
      </c>
      <c r="F106" s="42">
        <f>SUM(F107:F109)</f>
        <v>47</v>
      </c>
      <c r="G106" s="43">
        <f t="shared" si="20"/>
        <v>-68.8</v>
      </c>
      <c r="H106" s="43">
        <f t="shared" si="21"/>
        <v>40.587219343696027</v>
      </c>
    </row>
    <row r="107" spans="1:15" ht="27.75" customHeight="1">
      <c r="A107" s="49"/>
      <c r="B107" s="120" t="s">
        <v>236</v>
      </c>
      <c r="C107" s="16"/>
      <c r="D107" s="18">
        <v>0.6</v>
      </c>
      <c r="E107" s="18"/>
      <c r="F107" s="18">
        <v>1.1000000000000001</v>
      </c>
      <c r="G107" s="15">
        <f t="shared" si="20"/>
        <v>1.1000000000000001</v>
      </c>
      <c r="H107" s="56" t="e">
        <f t="shared" si="21"/>
        <v>#DIV/0!</v>
      </c>
      <c r="K107" s="2"/>
    </row>
    <row r="108" spans="1:15" ht="27.75" customHeight="1">
      <c r="A108" s="49"/>
      <c r="B108" s="120" t="s">
        <v>227</v>
      </c>
      <c r="C108" s="16"/>
      <c r="D108" s="18"/>
      <c r="E108" s="18"/>
      <c r="F108" s="18">
        <v>45.9</v>
      </c>
      <c r="G108" s="15">
        <f t="shared" si="20"/>
        <v>45.9</v>
      </c>
      <c r="H108" s="56" t="e">
        <f t="shared" si="21"/>
        <v>#DIV/0!</v>
      </c>
      <c r="K108" s="2"/>
    </row>
    <row r="109" spans="1:15" ht="27.75" customHeight="1">
      <c r="A109" s="53"/>
      <c r="B109" s="67" t="s">
        <v>174</v>
      </c>
      <c r="C109" s="45"/>
      <c r="D109" s="42"/>
      <c r="E109" s="18">
        <v>115.8</v>
      </c>
      <c r="F109" s="18"/>
      <c r="G109" s="15">
        <f t="shared" si="20"/>
        <v>-115.8</v>
      </c>
      <c r="H109" s="43">
        <f t="shared" si="21"/>
        <v>0</v>
      </c>
    </row>
    <row r="110" spans="1:15" s="5" customFormat="1" ht="33" customHeight="1">
      <c r="A110" s="53" t="s">
        <v>104</v>
      </c>
      <c r="B110" s="57" t="s">
        <v>348</v>
      </c>
      <c r="C110" s="63"/>
      <c r="D110" s="42"/>
      <c r="E110" s="14"/>
      <c r="F110" s="14">
        <f>F112+F118</f>
        <v>378.4</v>
      </c>
      <c r="G110" s="43">
        <f t="shared" si="20"/>
        <v>378.4</v>
      </c>
      <c r="H110" s="213" t="e">
        <f t="shared" si="21"/>
        <v>#DIV/0!</v>
      </c>
      <c r="J110" s="89"/>
      <c r="N110" s="83"/>
      <c r="O110" s="83"/>
    </row>
    <row r="111" spans="1:15" ht="27.75" customHeight="1">
      <c r="A111" s="53"/>
      <c r="B111" s="210" t="s">
        <v>86</v>
      </c>
      <c r="C111" s="45"/>
      <c r="D111" s="42"/>
      <c r="E111" s="18"/>
      <c r="F111" s="18"/>
      <c r="G111" s="43"/>
      <c r="H111" s="213"/>
    </row>
    <row r="112" spans="1:15" s="5" customFormat="1" ht="31.5" customHeight="1">
      <c r="A112" s="53" t="s">
        <v>507</v>
      </c>
      <c r="B112" s="57" t="s">
        <v>90</v>
      </c>
      <c r="C112" s="55">
        <v>1010</v>
      </c>
      <c r="D112" s="42"/>
      <c r="E112" s="14"/>
      <c r="F112" s="14">
        <f>F113+F115</f>
        <v>175</v>
      </c>
      <c r="G112" s="43">
        <f t="shared" si="20"/>
        <v>175</v>
      </c>
      <c r="H112" s="213" t="e">
        <f t="shared" si="21"/>
        <v>#DIV/0!</v>
      </c>
      <c r="J112" s="89"/>
      <c r="N112" s="83"/>
      <c r="O112" s="83"/>
    </row>
    <row r="113" spans="1:15" s="86" customFormat="1" ht="31.5" customHeight="1">
      <c r="A113" s="39" t="s">
        <v>508</v>
      </c>
      <c r="B113" s="40" t="s">
        <v>105</v>
      </c>
      <c r="C113" s="47">
        <v>1011</v>
      </c>
      <c r="D113" s="42"/>
      <c r="E113" s="42"/>
      <c r="F113" s="42">
        <f>F114</f>
        <v>115</v>
      </c>
      <c r="G113" s="43">
        <f t="shared" si="20"/>
        <v>115</v>
      </c>
      <c r="H113" s="213" t="e">
        <f t="shared" si="21"/>
        <v>#DIV/0!</v>
      </c>
      <c r="J113" s="90"/>
      <c r="N113" s="88"/>
      <c r="O113" s="88"/>
    </row>
    <row r="114" spans="1:15" ht="49.5" customHeight="1">
      <c r="A114" s="39"/>
      <c r="B114" s="17" t="s">
        <v>158</v>
      </c>
      <c r="C114" s="47"/>
      <c r="D114" s="42"/>
      <c r="E114" s="18"/>
      <c r="F114" s="18">
        <v>115</v>
      </c>
      <c r="G114" s="15">
        <f t="shared" si="20"/>
        <v>115</v>
      </c>
      <c r="H114" s="213" t="e">
        <f t="shared" si="21"/>
        <v>#DIV/0!</v>
      </c>
      <c r="K114" s="215"/>
    </row>
    <row r="115" spans="1:15" ht="31.5" customHeight="1">
      <c r="A115" s="39" t="s">
        <v>487</v>
      </c>
      <c r="B115" s="57" t="s">
        <v>97</v>
      </c>
      <c r="C115" s="47">
        <v>1015</v>
      </c>
      <c r="D115" s="42"/>
      <c r="E115" s="14"/>
      <c r="F115" s="14">
        <f>SUM(F116:F117)</f>
        <v>60</v>
      </c>
      <c r="G115" s="43">
        <f t="shared" ref="G115:G123" si="22">F115-E115</f>
        <v>60</v>
      </c>
      <c r="H115" s="213" t="e">
        <f t="shared" ref="H115:H123" si="23">(F115/E115)*100</f>
        <v>#DIV/0!</v>
      </c>
      <c r="K115" s="215"/>
    </row>
    <row r="116" spans="1:15" ht="29.25" customHeight="1">
      <c r="A116" s="39"/>
      <c r="B116" s="17" t="s">
        <v>149</v>
      </c>
      <c r="C116" s="47"/>
      <c r="D116" s="42"/>
      <c r="E116" s="18"/>
      <c r="F116" s="18">
        <v>53.9</v>
      </c>
      <c r="G116" s="15">
        <f t="shared" si="22"/>
        <v>53.9</v>
      </c>
      <c r="H116" s="213" t="e">
        <f t="shared" si="23"/>
        <v>#DIV/0!</v>
      </c>
    </row>
    <row r="117" spans="1:15" ht="27.75" customHeight="1">
      <c r="A117" s="39"/>
      <c r="B117" s="17" t="s">
        <v>161</v>
      </c>
      <c r="C117" s="47"/>
      <c r="D117" s="42"/>
      <c r="E117" s="18"/>
      <c r="F117" s="18">
        <v>6.1</v>
      </c>
      <c r="G117" s="15">
        <f t="shared" si="22"/>
        <v>6.1</v>
      </c>
      <c r="H117" s="213" t="e">
        <f t="shared" si="23"/>
        <v>#DIV/0!</v>
      </c>
    </row>
    <row r="118" spans="1:15" ht="31.5" customHeight="1">
      <c r="A118" s="39" t="s">
        <v>488</v>
      </c>
      <c r="B118" s="57" t="s">
        <v>92</v>
      </c>
      <c r="C118" s="55">
        <v>1020</v>
      </c>
      <c r="D118" s="14"/>
      <c r="E118" s="14"/>
      <c r="F118" s="14">
        <f>F119</f>
        <v>203.4</v>
      </c>
      <c r="G118" s="19">
        <f t="shared" si="22"/>
        <v>203.4</v>
      </c>
      <c r="H118" s="212" t="e">
        <f t="shared" si="23"/>
        <v>#DIV/0!</v>
      </c>
    </row>
    <row r="119" spans="1:15" ht="33.75" customHeight="1">
      <c r="A119" s="39" t="s">
        <v>489</v>
      </c>
      <c r="B119" s="40" t="s">
        <v>171</v>
      </c>
      <c r="C119" s="47">
        <v>1025</v>
      </c>
      <c r="D119" s="42"/>
      <c r="E119" s="42"/>
      <c r="F119" s="42">
        <f>SUM(F120:F123)</f>
        <v>203.4</v>
      </c>
      <c r="G119" s="43">
        <f t="shared" si="22"/>
        <v>203.4</v>
      </c>
      <c r="H119" s="213" t="e">
        <f t="shared" si="23"/>
        <v>#DIV/0!</v>
      </c>
    </row>
    <row r="120" spans="1:15" ht="27" customHeight="1">
      <c r="A120" s="39"/>
      <c r="B120" s="17" t="s">
        <v>150</v>
      </c>
      <c r="C120" s="16"/>
      <c r="D120" s="18"/>
      <c r="E120" s="18"/>
      <c r="F120" s="18">
        <v>41.6</v>
      </c>
      <c r="G120" s="15">
        <f t="shared" si="22"/>
        <v>41.6</v>
      </c>
      <c r="H120" s="213" t="e">
        <f t="shared" si="23"/>
        <v>#DIV/0!</v>
      </c>
    </row>
    <row r="121" spans="1:15" ht="26.25" customHeight="1">
      <c r="A121" s="39"/>
      <c r="B121" s="17" t="s">
        <v>155</v>
      </c>
      <c r="C121" s="16"/>
      <c r="D121" s="18"/>
      <c r="E121" s="18"/>
      <c r="F121" s="18">
        <v>29.4</v>
      </c>
      <c r="G121" s="15">
        <f t="shared" si="22"/>
        <v>29.4</v>
      </c>
      <c r="H121" s="213" t="e">
        <f t="shared" si="23"/>
        <v>#DIV/0!</v>
      </c>
    </row>
    <row r="122" spans="1:15" ht="27" customHeight="1">
      <c r="A122" s="39"/>
      <c r="B122" s="17" t="s">
        <v>226</v>
      </c>
      <c r="C122" s="16"/>
      <c r="D122" s="18"/>
      <c r="E122" s="18"/>
      <c r="F122" s="18">
        <v>74.400000000000006</v>
      </c>
      <c r="G122" s="15">
        <f t="shared" si="22"/>
        <v>74.400000000000006</v>
      </c>
      <c r="H122" s="213" t="e">
        <f t="shared" si="23"/>
        <v>#DIV/0!</v>
      </c>
    </row>
    <row r="123" spans="1:15" ht="32.25" customHeight="1">
      <c r="A123" s="39"/>
      <c r="B123" s="17" t="s">
        <v>164</v>
      </c>
      <c r="C123" s="16"/>
      <c r="D123" s="18"/>
      <c r="E123" s="18"/>
      <c r="F123" s="18">
        <v>58</v>
      </c>
      <c r="G123" s="15">
        <f t="shared" si="22"/>
        <v>58</v>
      </c>
      <c r="H123" s="213" t="e">
        <f t="shared" si="23"/>
        <v>#DIV/0!</v>
      </c>
    </row>
    <row r="124" spans="1:15" ht="32.25" customHeight="1">
      <c r="A124" s="53" t="s">
        <v>349</v>
      </c>
      <c r="B124" s="57" t="s">
        <v>204</v>
      </c>
      <c r="C124" s="63"/>
      <c r="D124" s="14">
        <f>D126+D139</f>
        <v>10738.7</v>
      </c>
      <c r="E124" s="14">
        <f>E126+E139</f>
        <v>11418.9</v>
      </c>
      <c r="F124" s="14">
        <f>F126+F139</f>
        <v>11771.8</v>
      </c>
      <c r="G124" s="19">
        <f t="shared" si="20"/>
        <v>352.89999999999964</v>
      </c>
      <c r="H124" s="19">
        <f t="shared" si="21"/>
        <v>103.0904903274396</v>
      </c>
      <c r="I124" s="20"/>
      <c r="J124" s="28"/>
    </row>
    <row r="125" spans="1:15" ht="27" customHeight="1">
      <c r="A125" s="53"/>
      <c r="B125" s="66" t="s">
        <v>86</v>
      </c>
      <c r="C125" s="45"/>
      <c r="D125" s="18"/>
      <c r="E125" s="18"/>
      <c r="F125" s="18"/>
      <c r="G125" s="19"/>
      <c r="H125" s="19"/>
      <c r="I125" s="20"/>
      <c r="K125" s="28"/>
    </row>
    <row r="126" spans="1:15" s="5" customFormat="1" ht="30" customHeight="1">
      <c r="A126" s="53" t="s">
        <v>494</v>
      </c>
      <c r="B126" s="57" t="s">
        <v>90</v>
      </c>
      <c r="C126" s="63">
        <v>1010</v>
      </c>
      <c r="D126" s="14">
        <f>D127+D131</f>
        <v>10601.400000000001</v>
      </c>
      <c r="E126" s="14">
        <f>E127+E131</f>
        <v>11271.3</v>
      </c>
      <c r="F126" s="14">
        <f>F127+F131</f>
        <v>11511.8</v>
      </c>
      <c r="G126" s="19">
        <f t="shared" si="20"/>
        <v>240.5</v>
      </c>
      <c r="H126" s="19">
        <f t="shared" si="21"/>
        <v>102.1337379006858</v>
      </c>
      <c r="I126" s="87"/>
      <c r="J126" s="89"/>
      <c r="N126" s="83"/>
      <c r="O126" s="83"/>
    </row>
    <row r="127" spans="1:15" s="5" customFormat="1" ht="30" customHeight="1">
      <c r="A127" s="39" t="s">
        <v>498</v>
      </c>
      <c r="B127" s="59" t="s">
        <v>105</v>
      </c>
      <c r="C127" s="41">
        <v>1011</v>
      </c>
      <c r="D127" s="42">
        <f>SUM(D128:D130)</f>
        <v>5360.4</v>
      </c>
      <c r="E127" s="42">
        <f>SUM(E128:E130)</f>
        <v>4537.5</v>
      </c>
      <c r="F127" s="42">
        <f>SUM(F128:F130)</f>
        <v>4255.6000000000004</v>
      </c>
      <c r="G127" s="43">
        <f t="shared" si="20"/>
        <v>-281.89999999999964</v>
      </c>
      <c r="H127" s="43">
        <f t="shared" si="21"/>
        <v>93.78732782369147</v>
      </c>
      <c r="J127" s="89"/>
      <c r="N127" s="83"/>
      <c r="O127" s="83"/>
    </row>
    <row r="128" spans="1:15" ht="24.75" customHeight="1">
      <c r="A128" s="49"/>
      <c r="B128" s="17" t="s">
        <v>175</v>
      </c>
      <c r="C128" s="45"/>
      <c r="D128" s="18">
        <v>4455</v>
      </c>
      <c r="E128" s="18">
        <v>4125</v>
      </c>
      <c r="F128" s="18">
        <v>3627</v>
      </c>
      <c r="G128" s="15">
        <f t="shared" si="20"/>
        <v>-498</v>
      </c>
      <c r="H128" s="15">
        <f t="shared" si="21"/>
        <v>87.927272727272737</v>
      </c>
      <c r="I128" s="54"/>
    </row>
    <row r="129" spans="1:16" ht="24.75" customHeight="1">
      <c r="A129" s="49"/>
      <c r="B129" s="17" t="s">
        <v>221</v>
      </c>
      <c r="C129" s="45"/>
      <c r="D129" s="18">
        <v>38.700000000000003</v>
      </c>
      <c r="E129" s="18">
        <v>97.5</v>
      </c>
      <c r="F129" s="18">
        <v>58.1</v>
      </c>
      <c r="G129" s="15">
        <f t="shared" si="20"/>
        <v>-39.4</v>
      </c>
      <c r="H129" s="15">
        <f t="shared" si="21"/>
        <v>59.589743589743591</v>
      </c>
      <c r="I129" s="54"/>
    </row>
    <row r="130" spans="1:16" ht="24.75" customHeight="1">
      <c r="A130" s="49"/>
      <c r="B130" s="17" t="s">
        <v>176</v>
      </c>
      <c r="C130" s="45"/>
      <c r="D130" s="18">
        <v>866.7</v>
      </c>
      <c r="E130" s="18">
        <v>315</v>
      </c>
      <c r="F130" s="18">
        <f>4924.2-726.7-3627</f>
        <v>570.5</v>
      </c>
      <c r="G130" s="15">
        <f t="shared" si="20"/>
        <v>255.5</v>
      </c>
      <c r="H130" s="15">
        <f t="shared" si="21"/>
        <v>181.11111111111111</v>
      </c>
    </row>
    <row r="131" spans="1:16" s="5" customFormat="1" ht="26.25" customHeight="1">
      <c r="A131" s="39" t="s">
        <v>499</v>
      </c>
      <c r="B131" s="69" t="s">
        <v>97</v>
      </c>
      <c r="C131" s="70">
        <v>1015</v>
      </c>
      <c r="D131" s="42">
        <f>SUM(D132:D138)</f>
        <v>5241.0000000000009</v>
      </c>
      <c r="E131" s="42">
        <f>SUM(E132:E138)</f>
        <v>6733.8</v>
      </c>
      <c r="F131" s="42">
        <f>SUM(F132:F138)</f>
        <v>7256.2</v>
      </c>
      <c r="G131" s="43">
        <f t="shared" si="20"/>
        <v>522.39999999999964</v>
      </c>
      <c r="H131" s="43">
        <f t="shared" si="21"/>
        <v>107.75787816685971</v>
      </c>
      <c r="J131" s="89"/>
      <c r="N131" s="83"/>
      <c r="O131" s="83"/>
    </row>
    <row r="132" spans="1:16" s="5" customFormat="1" ht="24.75" customHeight="1">
      <c r="A132" s="39"/>
      <c r="B132" s="23" t="s">
        <v>147</v>
      </c>
      <c r="C132" s="70"/>
      <c r="D132" s="42"/>
      <c r="E132" s="18">
        <v>166.7</v>
      </c>
      <c r="F132" s="18">
        <v>442.3</v>
      </c>
      <c r="G132" s="15">
        <f t="shared" si="20"/>
        <v>275.60000000000002</v>
      </c>
      <c r="H132" s="15">
        <f t="shared" si="21"/>
        <v>265.32693461307741</v>
      </c>
      <c r="J132" s="89"/>
      <c r="N132" s="83"/>
      <c r="O132" s="83"/>
    </row>
    <row r="133" spans="1:16" s="5" customFormat="1" ht="24.75" customHeight="1">
      <c r="A133" s="39"/>
      <c r="B133" s="23" t="s">
        <v>366</v>
      </c>
      <c r="C133" s="70"/>
      <c r="D133" s="18">
        <v>500</v>
      </c>
      <c r="E133" s="42"/>
      <c r="F133" s="18"/>
      <c r="G133" s="43">
        <f t="shared" si="20"/>
        <v>0</v>
      </c>
      <c r="H133" s="213" t="e">
        <f t="shared" si="21"/>
        <v>#DIV/0!</v>
      </c>
      <c r="J133" s="89"/>
      <c r="N133" s="83"/>
      <c r="O133" s="83"/>
    </row>
    <row r="134" spans="1:16" ht="24.75" customHeight="1">
      <c r="A134" s="53"/>
      <c r="B134" s="23" t="s">
        <v>166</v>
      </c>
      <c r="C134" s="23"/>
      <c r="D134" s="18">
        <v>3403.4</v>
      </c>
      <c r="E134" s="18">
        <v>4686.7</v>
      </c>
      <c r="F134" s="18">
        <v>4104.8999999999996</v>
      </c>
      <c r="G134" s="15">
        <f t="shared" si="20"/>
        <v>-581.80000000000018</v>
      </c>
      <c r="H134" s="15">
        <f t="shared" si="21"/>
        <v>87.586148035931473</v>
      </c>
    </row>
    <row r="135" spans="1:16" ht="24.75" customHeight="1">
      <c r="A135" s="53"/>
      <c r="B135" s="23" t="s">
        <v>167</v>
      </c>
      <c r="C135" s="23"/>
      <c r="D135" s="18">
        <v>285.7</v>
      </c>
      <c r="E135" s="18">
        <v>323.8</v>
      </c>
      <c r="F135" s="18">
        <v>501.8</v>
      </c>
      <c r="G135" s="15">
        <f t="shared" si="20"/>
        <v>178</v>
      </c>
      <c r="H135" s="15">
        <f t="shared" si="21"/>
        <v>154.97220506485485</v>
      </c>
    </row>
    <row r="136" spans="1:16" ht="24.75" customHeight="1">
      <c r="A136" s="53"/>
      <c r="B136" s="23" t="s">
        <v>177</v>
      </c>
      <c r="C136" s="23"/>
      <c r="D136" s="18">
        <v>903.8</v>
      </c>
      <c r="E136" s="18">
        <v>1391.4</v>
      </c>
      <c r="F136" s="18">
        <v>2004</v>
      </c>
      <c r="G136" s="15">
        <f t="shared" si="20"/>
        <v>612.59999999999991</v>
      </c>
      <c r="H136" s="15">
        <f t="shared" si="21"/>
        <v>144.02759810263044</v>
      </c>
    </row>
    <row r="137" spans="1:16" ht="24.75" customHeight="1">
      <c r="A137" s="53"/>
      <c r="B137" s="23" t="s">
        <v>249</v>
      </c>
      <c r="C137" s="23"/>
      <c r="D137" s="18"/>
      <c r="E137" s="18">
        <v>7.3</v>
      </c>
      <c r="F137" s="18"/>
      <c r="G137" s="15">
        <f t="shared" si="20"/>
        <v>-7.3</v>
      </c>
      <c r="H137" s="15">
        <f t="shared" si="21"/>
        <v>0</v>
      </c>
      <c r="K137" s="28"/>
    </row>
    <row r="138" spans="1:16" ht="24.75" customHeight="1">
      <c r="A138" s="53"/>
      <c r="B138" s="23" t="s">
        <v>169</v>
      </c>
      <c r="C138" s="23"/>
      <c r="D138" s="18">
        <v>148.1</v>
      </c>
      <c r="E138" s="18">
        <v>157.9</v>
      </c>
      <c r="F138" s="18">
        <v>203.2</v>
      </c>
      <c r="G138" s="15">
        <f t="shared" si="20"/>
        <v>45.299999999999983</v>
      </c>
      <c r="H138" s="15">
        <f t="shared" si="21"/>
        <v>128.68904369854337</v>
      </c>
    </row>
    <row r="139" spans="1:16" ht="32.25" customHeight="1">
      <c r="A139" s="53" t="s">
        <v>493</v>
      </c>
      <c r="B139" s="62" t="s">
        <v>92</v>
      </c>
      <c r="C139" s="63">
        <v>1020</v>
      </c>
      <c r="D139" s="14">
        <f>D140+D142</f>
        <v>137.30000000000001</v>
      </c>
      <c r="E139" s="14">
        <f>E142</f>
        <v>147.6</v>
      </c>
      <c r="F139" s="14">
        <f>F142</f>
        <v>260.00000000000006</v>
      </c>
      <c r="G139" s="19">
        <f t="shared" si="20"/>
        <v>112.40000000000006</v>
      </c>
      <c r="H139" s="19">
        <f t="shared" si="21"/>
        <v>176.15176151761523</v>
      </c>
      <c r="I139" s="85"/>
      <c r="K139" s="28"/>
    </row>
    <row r="140" spans="1:16" ht="26.25" customHeight="1">
      <c r="A140" s="39" t="s">
        <v>350</v>
      </c>
      <c r="B140" s="59" t="s">
        <v>105</v>
      </c>
      <c r="C140" s="41">
        <v>1021</v>
      </c>
      <c r="D140" s="42">
        <f>D141</f>
        <v>4.9000000000000004</v>
      </c>
      <c r="E140" s="42">
        <f t="shared" ref="E140:F140" si="24">E141</f>
        <v>0</v>
      </c>
      <c r="F140" s="42">
        <f t="shared" si="24"/>
        <v>0</v>
      </c>
      <c r="G140" s="43">
        <f t="shared" si="20"/>
        <v>0</v>
      </c>
      <c r="H140" s="213" t="e">
        <f t="shared" si="21"/>
        <v>#DIV/0!</v>
      </c>
      <c r="I140" s="85"/>
      <c r="K140" s="28"/>
    </row>
    <row r="141" spans="1:16" ht="26.25" customHeight="1">
      <c r="A141" s="53"/>
      <c r="B141" s="21" t="s">
        <v>221</v>
      </c>
      <c r="C141" s="63"/>
      <c r="D141" s="18">
        <v>4.9000000000000004</v>
      </c>
      <c r="E141" s="14"/>
      <c r="F141" s="14"/>
      <c r="G141" s="19">
        <f t="shared" si="20"/>
        <v>0</v>
      </c>
      <c r="H141" s="212" t="e">
        <f t="shared" si="21"/>
        <v>#DIV/0!</v>
      </c>
      <c r="I141" s="85"/>
      <c r="K141" s="28"/>
    </row>
    <row r="142" spans="1:16" ht="24.75" customHeight="1">
      <c r="A142" s="39" t="s">
        <v>492</v>
      </c>
      <c r="B142" s="59" t="s">
        <v>171</v>
      </c>
      <c r="C142" s="41">
        <v>1025</v>
      </c>
      <c r="D142" s="42">
        <f>SUM(D143:D146)</f>
        <v>132.4</v>
      </c>
      <c r="E142" s="42">
        <f>SUM(E143:E146)</f>
        <v>147.6</v>
      </c>
      <c r="F142" s="42">
        <f>SUM(F143:F146)</f>
        <v>260.00000000000006</v>
      </c>
      <c r="G142" s="43">
        <f t="shared" si="20"/>
        <v>112.40000000000006</v>
      </c>
      <c r="H142" s="43">
        <f t="shared" si="21"/>
        <v>176.15176151761523</v>
      </c>
      <c r="P142" s="2" t="s">
        <v>269</v>
      </c>
    </row>
    <row r="143" spans="1:16" ht="24.75" customHeight="1">
      <c r="A143" s="76"/>
      <c r="B143" s="26" t="s">
        <v>166</v>
      </c>
      <c r="C143" s="45"/>
      <c r="D143" s="18">
        <v>44.5</v>
      </c>
      <c r="E143" s="18">
        <v>105.4</v>
      </c>
      <c r="F143" s="18">
        <v>203.4</v>
      </c>
      <c r="G143" s="15">
        <f t="shared" si="20"/>
        <v>98</v>
      </c>
      <c r="H143" s="15">
        <f t="shared" si="21"/>
        <v>192.97912713472485</v>
      </c>
    </row>
    <row r="144" spans="1:16" ht="24.75" customHeight="1">
      <c r="A144" s="76"/>
      <c r="B144" s="26" t="s">
        <v>167</v>
      </c>
      <c r="C144" s="45"/>
      <c r="D144" s="18">
        <v>5.3</v>
      </c>
      <c r="E144" s="18">
        <v>7.3</v>
      </c>
      <c r="F144" s="18">
        <v>8.3000000000000007</v>
      </c>
      <c r="G144" s="15">
        <f t="shared" si="20"/>
        <v>1.0000000000000009</v>
      </c>
      <c r="H144" s="15">
        <f t="shared" si="21"/>
        <v>113.69863013698631</v>
      </c>
    </row>
    <row r="145" spans="1:11" ht="24.75" customHeight="1">
      <c r="A145" s="76"/>
      <c r="B145" s="26" t="s">
        <v>168</v>
      </c>
      <c r="C145" s="45"/>
      <c r="D145" s="18">
        <v>80</v>
      </c>
      <c r="E145" s="18">
        <v>31.3</v>
      </c>
      <c r="F145" s="18">
        <v>45.5</v>
      </c>
      <c r="G145" s="15">
        <f t="shared" si="20"/>
        <v>14.2</v>
      </c>
      <c r="H145" s="15">
        <f t="shared" si="21"/>
        <v>145.36741214057508</v>
      </c>
    </row>
    <row r="146" spans="1:11" ht="24.75" customHeight="1">
      <c r="A146" s="76"/>
      <c r="B146" s="26" t="s">
        <v>178</v>
      </c>
      <c r="C146" s="45"/>
      <c r="D146" s="18">
        <v>2.6</v>
      </c>
      <c r="E146" s="18">
        <v>3.6</v>
      </c>
      <c r="F146" s="18">
        <v>2.8</v>
      </c>
      <c r="G146" s="15">
        <f t="shared" si="20"/>
        <v>-0.80000000000000027</v>
      </c>
      <c r="H146" s="15">
        <f t="shared" si="21"/>
        <v>77.777777777777771</v>
      </c>
    </row>
    <row r="147" spans="1:11" ht="32.25" customHeight="1">
      <c r="A147" s="38" t="s">
        <v>261</v>
      </c>
      <c r="B147" s="77" t="s">
        <v>210</v>
      </c>
      <c r="C147" s="63"/>
      <c r="D147" s="14">
        <f>D149</f>
        <v>1670.6</v>
      </c>
      <c r="E147" s="14">
        <f>E149</f>
        <v>0</v>
      </c>
      <c r="F147" s="14">
        <f>F149</f>
        <v>726.7</v>
      </c>
      <c r="G147" s="19">
        <f t="shared" ref="G147:G211" si="25">F147-E147</f>
        <v>726.7</v>
      </c>
      <c r="H147" s="212" t="e">
        <f t="shared" ref="H147:H211" si="26">(F147/E147)*100</f>
        <v>#DIV/0!</v>
      </c>
    </row>
    <row r="148" spans="1:11" ht="30.75" customHeight="1">
      <c r="A148" s="76"/>
      <c r="B148" s="78" t="s">
        <v>86</v>
      </c>
      <c r="C148" s="45"/>
      <c r="D148" s="18"/>
      <c r="E148" s="18"/>
      <c r="F148" s="18"/>
      <c r="G148" s="15"/>
      <c r="H148" s="15"/>
    </row>
    <row r="149" spans="1:11" ht="27.75" customHeight="1">
      <c r="A149" s="38" t="s">
        <v>260</v>
      </c>
      <c r="B149" s="77" t="s">
        <v>90</v>
      </c>
      <c r="C149" s="63">
        <v>1010</v>
      </c>
      <c r="D149" s="14">
        <f>D150</f>
        <v>1670.6</v>
      </c>
      <c r="E149" s="14"/>
      <c r="F149" s="14">
        <f>F150</f>
        <v>726.7</v>
      </c>
      <c r="G149" s="19">
        <f t="shared" si="25"/>
        <v>726.7</v>
      </c>
      <c r="H149" s="212" t="e">
        <f t="shared" si="26"/>
        <v>#DIV/0!</v>
      </c>
      <c r="I149" s="20"/>
    </row>
    <row r="150" spans="1:11" ht="27" customHeight="1">
      <c r="A150" s="73" t="s">
        <v>262</v>
      </c>
      <c r="B150" s="71" t="s">
        <v>105</v>
      </c>
      <c r="C150" s="41">
        <v>1011</v>
      </c>
      <c r="D150" s="42">
        <f>SUM(D151:D154)</f>
        <v>1670.6</v>
      </c>
      <c r="E150" s="42"/>
      <c r="F150" s="42">
        <f>SUM(F151:F154)</f>
        <v>726.7</v>
      </c>
      <c r="G150" s="43">
        <f t="shared" si="25"/>
        <v>726.7</v>
      </c>
      <c r="H150" s="213" t="e">
        <f t="shared" si="26"/>
        <v>#DIV/0!</v>
      </c>
    </row>
    <row r="151" spans="1:11" ht="27" customHeight="1">
      <c r="A151" s="73"/>
      <c r="B151" s="26" t="s">
        <v>234</v>
      </c>
      <c r="C151" s="41"/>
      <c r="D151" s="18">
        <v>183</v>
      </c>
      <c r="E151" s="42"/>
      <c r="F151" s="18"/>
      <c r="G151" s="43">
        <f t="shared" si="25"/>
        <v>0</v>
      </c>
      <c r="H151" s="213" t="e">
        <f t="shared" si="26"/>
        <v>#DIV/0!</v>
      </c>
    </row>
    <row r="152" spans="1:11" ht="27" customHeight="1">
      <c r="A152" s="73"/>
      <c r="B152" s="21" t="s">
        <v>172</v>
      </c>
      <c r="C152" s="41"/>
      <c r="D152" s="18">
        <v>46.6</v>
      </c>
      <c r="E152" s="42"/>
      <c r="F152" s="18"/>
      <c r="G152" s="43">
        <f t="shared" si="25"/>
        <v>0</v>
      </c>
      <c r="H152" s="213" t="e">
        <f t="shared" si="26"/>
        <v>#DIV/0!</v>
      </c>
    </row>
    <row r="153" spans="1:11" ht="27" customHeight="1">
      <c r="A153" s="73"/>
      <c r="B153" s="17" t="s">
        <v>175</v>
      </c>
      <c r="C153" s="41"/>
      <c r="D153" s="18"/>
      <c r="E153" s="42"/>
      <c r="F153" s="18">
        <v>726.7</v>
      </c>
      <c r="G153" s="15">
        <f t="shared" si="25"/>
        <v>726.7</v>
      </c>
      <c r="H153" s="213" t="e">
        <f t="shared" si="26"/>
        <v>#DIV/0!</v>
      </c>
    </row>
    <row r="154" spans="1:11" ht="38.25" customHeight="1">
      <c r="A154" s="73"/>
      <c r="B154" s="21" t="s">
        <v>367</v>
      </c>
      <c r="C154" s="41"/>
      <c r="D154" s="18">
        <v>1441</v>
      </c>
      <c r="E154" s="42"/>
      <c r="F154" s="18"/>
      <c r="G154" s="43">
        <f t="shared" si="25"/>
        <v>0</v>
      </c>
      <c r="H154" s="213" t="e">
        <f t="shared" si="26"/>
        <v>#DIV/0!</v>
      </c>
    </row>
    <row r="155" spans="1:11" ht="30" customHeight="1">
      <c r="A155" s="38" t="s">
        <v>263</v>
      </c>
      <c r="B155" s="57" t="s">
        <v>180</v>
      </c>
      <c r="C155" s="55"/>
      <c r="D155" s="14">
        <f>D157</f>
        <v>71</v>
      </c>
      <c r="E155" s="14">
        <f>E157</f>
        <v>72</v>
      </c>
      <c r="F155" s="14">
        <f>F157</f>
        <v>87</v>
      </c>
      <c r="G155" s="19">
        <f t="shared" si="25"/>
        <v>15</v>
      </c>
      <c r="H155" s="19">
        <f t="shared" si="26"/>
        <v>120.83333333333333</v>
      </c>
      <c r="I155" s="20"/>
    </row>
    <row r="156" spans="1:11" ht="27" customHeight="1">
      <c r="A156" s="76"/>
      <c r="B156" s="37" t="s">
        <v>86</v>
      </c>
      <c r="C156" s="79"/>
      <c r="D156" s="18"/>
      <c r="E156" s="18"/>
      <c r="F156" s="18"/>
      <c r="G156" s="19"/>
      <c r="H156" s="19"/>
      <c r="J156" s="277"/>
      <c r="K156" s="278"/>
    </row>
    <row r="157" spans="1:11" ht="24.75" customHeight="1">
      <c r="A157" s="38" t="s">
        <v>264</v>
      </c>
      <c r="B157" s="65" t="s">
        <v>12</v>
      </c>
      <c r="C157" s="63">
        <v>1030</v>
      </c>
      <c r="D157" s="14">
        <f>D158</f>
        <v>71</v>
      </c>
      <c r="E157" s="14">
        <f>E158</f>
        <v>72</v>
      </c>
      <c r="F157" s="14">
        <f>F158</f>
        <v>87</v>
      </c>
      <c r="G157" s="19">
        <f t="shared" si="25"/>
        <v>15</v>
      </c>
      <c r="H157" s="19">
        <f t="shared" si="26"/>
        <v>120.83333333333333</v>
      </c>
      <c r="J157" s="277"/>
      <c r="K157" s="278"/>
    </row>
    <row r="158" spans="1:11" ht="24.75" customHeight="1">
      <c r="A158" s="73" t="s">
        <v>509</v>
      </c>
      <c r="B158" s="80" t="s">
        <v>93</v>
      </c>
      <c r="C158" s="41">
        <v>1035</v>
      </c>
      <c r="D158" s="42">
        <f>SUM(D159:D161)</f>
        <v>71</v>
      </c>
      <c r="E158" s="42">
        <f>SUM(E159:E161)</f>
        <v>72</v>
      </c>
      <c r="F158" s="42">
        <f>SUM(F159:F161)</f>
        <v>87</v>
      </c>
      <c r="G158" s="43">
        <f t="shared" si="25"/>
        <v>15</v>
      </c>
      <c r="H158" s="43">
        <f t="shared" si="26"/>
        <v>120.83333333333333</v>
      </c>
      <c r="J158" s="277"/>
      <c r="K158" s="278"/>
    </row>
    <row r="159" spans="1:11" ht="24.75" customHeight="1">
      <c r="A159" s="75"/>
      <c r="B159" s="17" t="s">
        <v>166</v>
      </c>
      <c r="C159" s="45"/>
      <c r="D159" s="18">
        <v>6.2</v>
      </c>
      <c r="E159" s="18">
        <v>6</v>
      </c>
      <c r="F159" s="18">
        <v>5.9</v>
      </c>
      <c r="G159" s="15">
        <f t="shared" si="25"/>
        <v>-9.9999999999999645E-2</v>
      </c>
      <c r="H159" s="15">
        <f t="shared" si="26"/>
        <v>98.333333333333343</v>
      </c>
    </row>
    <row r="160" spans="1:11" ht="24.75" customHeight="1">
      <c r="A160" s="75"/>
      <c r="B160" s="17" t="s">
        <v>167</v>
      </c>
      <c r="C160" s="45"/>
      <c r="D160" s="18">
        <v>3.1</v>
      </c>
      <c r="E160" s="18">
        <v>3</v>
      </c>
      <c r="F160" s="18">
        <v>8.1999999999999993</v>
      </c>
      <c r="G160" s="15">
        <f t="shared" si="25"/>
        <v>5.1999999999999993</v>
      </c>
      <c r="H160" s="15">
        <f t="shared" si="26"/>
        <v>273.33333333333331</v>
      </c>
    </row>
    <row r="161" spans="1:12" ht="26.25" customHeight="1">
      <c r="A161" s="38"/>
      <c r="B161" s="17" t="s">
        <v>168</v>
      </c>
      <c r="C161" s="45"/>
      <c r="D161" s="18">
        <v>61.7</v>
      </c>
      <c r="E161" s="18">
        <v>63</v>
      </c>
      <c r="F161" s="18">
        <v>72.900000000000006</v>
      </c>
      <c r="G161" s="15">
        <f t="shared" si="25"/>
        <v>9.9000000000000057</v>
      </c>
      <c r="H161" s="15">
        <f t="shared" si="26"/>
        <v>115.71428571428572</v>
      </c>
    </row>
    <row r="162" spans="1:12" ht="33" customHeight="1">
      <c r="A162" s="38" t="s">
        <v>265</v>
      </c>
      <c r="B162" s="62" t="s">
        <v>181</v>
      </c>
      <c r="C162" s="195"/>
      <c r="D162" s="14">
        <f>D164+D170</f>
        <v>276.5</v>
      </c>
      <c r="E162" s="14">
        <f>E164+E170</f>
        <v>523.5</v>
      </c>
      <c r="F162" s="14">
        <f>F164+F170</f>
        <v>1185.4000000000001</v>
      </c>
      <c r="G162" s="19">
        <f t="shared" si="25"/>
        <v>661.90000000000009</v>
      </c>
      <c r="H162" s="19">
        <f t="shared" si="26"/>
        <v>226.43744030563516</v>
      </c>
      <c r="J162" s="28"/>
      <c r="K162" s="2"/>
      <c r="L162" s="5"/>
    </row>
    <row r="163" spans="1:12" ht="27" customHeight="1">
      <c r="A163" s="38"/>
      <c r="B163" s="37" t="s">
        <v>86</v>
      </c>
      <c r="C163" s="195"/>
      <c r="D163" s="18"/>
      <c r="E163" s="18"/>
      <c r="F163" s="18"/>
      <c r="G163" s="19"/>
      <c r="H163" s="19"/>
      <c r="I163" s="20"/>
    </row>
    <row r="164" spans="1:12" ht="32.25" customHeight="1">
      <c r="A164" s="38" t="s">
        <v>510</v>
      </c>
      <c r="B164" s="57" t="s">
        <v>90</v>
      </c>
      <c r="C164" s="195">
        <v>1010</v>
      </c>
      <c r="D164" s="14">
        <f>D165</f>
        <v>260.5</v>
      </c>
      <c r="E164" s="14">
        <f>E165</f>
        <v>513</v>
      </c>
      <c r="F164" s="14">
        <f>F165</f>
        <v>1177.7</v>
      </c>
      <c r="G164" s="19">
        <f t="shared" si="25"/>
        <v>664.7</v>
      </c>
      <c r="H164" s="19">
        <f t="shared" si="26"/>
        <v>229.5711500974659</v>
      </c>
      <c r="I164" s="20"/>
    </row>
    <row r="165" spans="1:12" ht="28.5" customHeight="1">
      <c r="A165" s="73" t="s">
        <v>511</v>
      </c>
      <c r="B165" s="40" t="s">
        <v>97</v>
      </c>
      <c r="C165" s="70">
        <v>1015</v>
      </c>
      <c r="D165" s="42">
        <f>SUM(D166:D169)</f>
        <v>260.5</v>
      </c>
      <c r="E165" s="42">
        <f>E166+E169</f>
        <v>513</v>
      </c>
      <c r="F165" s="42">
        <f>SUM(F166:F169)</f>
        <v>1177.7</v>
      </c>
      <c r="G165" s="43">
        <f t="shared" si="25"/>
        <v>664.7</v>
      </c>
      <c r="H165" s="43">
        <f t="shared" si="26"/>
        <v>229.5711500974659</v>
      </c>
    </row>
    <row r="166" spans="1:12" ht="24.75" customHeight="1">
      <c r="A166" s="75"/>
      <c r="B166" s="17" t="s">
        <v>182</v>
      </c>
      <c r="C166" s="12"/>
      <c r="D166" s="18">
        <v>110.5</v>
      </c>
      <c r="E166" s="18">
        <v>363</v>
      </c>
      <c r="F166" s="18">
        <f>145.2+180</f>
        <v>325.2</v>
      </c>
      <c r="G166" s="15">
        <f t="shared" si="25"/>
        <v>-37.800000000000011</v>
      </c>
      <c r="H166" s="15">
        <f t="shared" si="26"/>
        <v>89.586776859504127</v>
      </c>
    </row>
    <row r="167" spans="1:12" ht="24.75" customHeight="1">
      <c r="A167" s="75"/>
      <c r="B167" s="17" t="s">
        <v>144</v>
      </c>
      <c r="C167" s="12"/>
      <c r="D167" s="18"/>
      <c r="E167" s="18"/>
      <c r="F167" s="18">
        <f>302.5+220</f>
        <v>522.5</v>
      </c>
      <c r="G167" s="15">
        <f t="shared" si="25"/>
        <v>522.5</v>
      </c>
      <c r="H167" s="56" t="e">
        <f t="shared" si="26"/>
        <v>#DIV/0!</v>
      </c>
    </row>
    <row r="168" spans="1:12" ht="24.75" customHeight="1">
      <c r="A168" s="75"/>
      <c r="B168" s="17" t="s">
        <v>146</v>
      </c>
      <c r="C168" s="12"/>
      <c r="D168" s="18"/>
      <c r="E168" s="18"/>
      <c r="F168" s="18">
        <f>180+85</f>
        <v>265</v>
      </c>
      <c r="G168" s="15">
        <f t="shared" si="25"/>
        <v>265</v>
      </c>
      <c r="H168" s="56" t="e">
        <f t="shared" si="26"/>
        <v>#DIV/0!</v>
      </c>
    </row>
    <row r="169" spans="1:12" ht="24.75" customHeight="1">
      <c r="A169" s="75"/>
      <c r="B169" s="17" t="s">
        <v>193</v>
      </c>
      <c r="C169" s="12"/>
      <c r="D169" s="18">
        <v>150</v>
      </c>
      <c r="E169" s="18">
        <v>150</v>
      </c>
      <c r="F169" s="18">
        <v>65</v>
      </c>
      <c r="G169" s="15">
        <f t="shared" si="25"/>
        <v>-85</v>
      </c>
      <c r="H169" s="15">
        <f t="shared" si="26"/>
        <v>43.333333333333336</v>
      </c>
    </row>
    <row r="170" spans="1:12" ht="28.5" customHeight="1">
      <c r="A170" s="38" t="s">
        <v>512</v>
      </c>
      <c r="B170" s="194" t="s">
        <v>92</v>
      </c>
      <c r="C170" s="195">
        <v>1020</v>
      </c>
      <c r="D170" s="14">
        <f t="shared" ref="D170:F170" si="27">D171</f>
        <v>16</v>
      </c>
      <c r="E170" s="14">
        <f t="shared" si="27"/>
        <v>10.5</v>
      </c>
      <c r="F170" s="14">
        <f t="shared" si="27"/>
        <v>7.7</v>
      </c>
      <c r="G170" s="19">
        <f t="shared" si="25"/>
        <v>-2.8</v>
      </c>
      <c r="H170" s="19">
        <f t="shared" si="26"/>
        <v>73.333333333333343</v>
      </c>
    </row>
    <row r="171" spans="1:12" ht="30" customHeight="1">
      <c r="A171" s="73" t="s">
        <v>513</v>
      </c>
      <c r="B171" s="59" t="s">
        <v>171</v>
      </c>
      <c r="C171" s="41">
        <v>1025</v>
      </c>
      <c r="D171" s="42">
        <f>SUM(D172:D173)</f>
        <v>16</v>
      </c>
      <c r="E171" s="42">
        <f>E172+E173</f>
        <v>10.5</v>
      </c>
      <c r="F171" s="42">
        <f>SUM(F172:F173)</f>
        <v>7.7</v>
      </c>
      <c r="G171" s="43">
        <f t="shared" si="25"/>
        <v>-2.8</v>
      </c>
      <c r="H171" s="43">
        <f t="shared" si="26"/>
        <v>73.333333333333343</v>
      </c>
    </row>
    <row r="172" spans="1:12" ht="24.75" customHeight="1">
      <c r="A172" s="38"/>
      <c r="B172" s="21" t="s">
        <v>183</v>
      </c>
      <c r="C172" s="45"/>
      <c r="D172" s="18">
        <v>4.8</v>
      </c>
      <c r="E172" s="18">
        <v>4.5</v>
      </c>
      <c r="F172" s="18">
        <v>7.7</v>
      </c>
      <c r="G172" s="15">
        <f t="shared" si="25"/>
        <v>3.2</v>
      </c>
      <c r="H172" s="15">
        <f t="shared" si="26"/>
        <v>171.11111111111111</v>
      </c>
    </row>
    <row r="173" spans="1:12" ht="24.75" customHeight="1">
      <c r="A173" s="38"/>
      <c r="B173" s="21" t="s">
        <v>247</v>
      </c>
      <c r="C173" s="45"/>
      <c r="D173" s="18">
        <v>11.2</v>
      </c>
      <c r="E173" s="18">
        <v>6</v>
      </c>
      <c r="F173" s="18"/>
      <c r="G173" s="15">
        <f t="shared" si="25"/>
        <v>-6</v>
      </c>
      <c r="H173" s="15">
        <f t="shared" si="26"/>
        <v>0</v>
      </c>
    </row>
    <row r="174" spans="1:12" ht="30" customHeight="1">
      <c r="A174" s="38" t="s">
        <v>266</v>
      </c>
      <c r="B174" s="62" t="s">
        <v>239</v>
      </c>
      <c r="C174" s="63"/>
      <c r="D174" s="14">
        <f>D176</f>
        <v>0</v>
      </c>
      <c r="E174" s="14"/>
      <c r="F174" s="14">
        <f>F176</f>
        <v>19.5</v>
      </c>
      <c r="G174" s="19">
        <f t="shared" si="25"/>
        <v>19.5</v>
      </c>
      <c r="H174" s="212" t="e">
        <f t="shared" si="26"/>
        <v>#DIV/0!</v>
      </c>
    </row>
    <row r="175" spans="1:12" ht="28.5" customHeight="1">
      <c r="A175" s="38"/>
      <c r="B175" s="211" t="s">
        <v>86</v>
      </c>
      <c r="C175" s="45"/>
      <c r="D175" s="122"/>
      <c r="E175" s="18"/>
      <c r="F175" s="18"/>
      <c r="G175" s="15"/>
      <c r="H175" s="56"/>
    </row>
    <row r="176" spans="1:12" ht="24.75" customHeight="1">
      <c r="A176" s="38" t="s">
        <v>267</v>
      </c>
      <c r="B176" s="62" t="s">
        <v>240</v>
      </c>
      <c r="C176" s="63">
        <v>1030</v>
      </c>
      <c r="D176" s="14">
        <f>D177</f>
        <v>0</v>
      </c>
      <c r="E176" s="14"/>
      <c r="F176" s="14">
        <f>F177</f>
        <v>19.5</v>
      </c>
      <c r="G176" s="19">
        <f t="shared" si="25"/>
        <v>19.5</v>
      </c>
      <c r="H176" s="212" t="e">
        <f t="shared" si="26"/>
        <v>#DIV/0!</v>
      </c>
    </row>
    <row r="177" spans="1:15" ht="24.75" customHeight="1">
      <c r="A177" s="73" t="s">
        <v>268</v>
      </c>
      <c r="B177" s="59" t="s">
        <v>240</v>
      </c>
      <c r="C177" s="41">
        <v>1035</v>
      </c>
      <c r="D177" s="42">
        <f>D178</f>
        <v>0</v>
      </c>
      <c r="E177" s="42"/>
      <c r="F177" s="42">
        <f>F178</f>
        <v>19.5</v>
      </c>
      <c r="G177" s="43">
        <f t="shared" si="25"/>
        <v>19.5</v>
      </c>
      <c r="H177" s="213" t="e">
        <f t="shared" si="26"/>
        <v>#DIV/0!</v>
      </c>
    </row>
    <row r="178" spans="1:15" ht="24.75" customHeight="1">
      <c r="A178" s="38"/>
      <c r="B178" s="21" t="s">
        <v>241</v>
      </c>
      <c r="C178" s="45"/>
      <c r="D178" s="18"/>
      <c r="E178" s="18"/>
      <c r="F178" s="18">
        <v>19.5</v>
      </c>
      <c r="G178" s="15">
        <f t="shared" si="25"/>
        <v>19.5</v>
      </c>
      <c r="H178" s="56" t="e">
        <f t="shared" si="26"/>
        <v>#DIV/0!</v>
      </c>
    </row>
    <row r="179" spans="1:15" ht="26.25" customHeight="1">
      <c r="A179" s="38" t="s">
        <v>179</v>
      </c>
      <c r="B179" s="194" t="s">
        <v>196</v>
      </c>
      <c r="C179" s="203"/>
      <c r="D179" s="14">
        <f>D181+D200</f>
        <v>5164.2000000000007</v>
      </c>
      <c r="E179" s="14">
        <f>E181</f>
        <v>0</v>
      </c>
      <c r="F179" s="14">
        <f>F181</f>
        <v>4879.2</v>
      </c>
      <c r="G179" s="19">
        <f t="shared" si="25"/>
        <v>4879.2</v>
      </c>
      <c r="H179" s="56" t="e">
        <f t="shared" si="26"/>
        <v>#DIV/0!</v>
      </c>
      <c r="I179" s="20"/>
    </row>
    <row r="180" spans="1:15" ht="24.75" customHeight="1">
      <c r="A180" s="75"/>
      <c r="B180" s="37" t="s">
        <v>86</v>
      </c>
      <c r="C180" s="12"/>
      <c r="D180" s="18"/>
      <c r="E180" s="18">
        <f>E182</f>
        <v>0</v>
      </c>
      <c r="F180" s="18"/>
      <c r="G180" s="19"/>
      <c r="H180" s="212"/>
    </row>
    <row r="181" spans="1:15" ht="24.75" customHeight="1">
      <c r="A181" s="38" t="s">
        <v>514</v>
      </c>
      <c r="B181" s="194" t="s">
        <v>90</v>
      </c>
      <c r="C181" s="195">
        <v>1010</v>
      </c>
      <c r="D181" s="14">
        <f>D182+D189+D188</f>
        <v>5155.2000000000007</v>
      </c>
      <c r="E181" s="14"/>
      <c r="F181" s="14">
        <f>F182+F189+F188</f>
        <v>4879.2</v>
      </c>
      <c r="G181" s="19">
        <f t="shared" si="25"/>
        <v>4879.2</v>
      </c>
      <c r="H181" s="212" t="e">
        <f t="shared" si="26"/>
        <v>#DIV/0!</v>
      </c>
    </row>
    <row r="182" spans="1:15" s="86" customFormat="1" ht="24.75" customHeight="1">
      <c r="A182" s="73" t="s">
        <v>515</v>
      </c>
      <c r="B182" s="59" t="s">
        <v>105</v>
      </c>
      <c r="C182" s="41">
        <v>1011</v>
      </c>
      <c r="D182" s="42">
        <f>SUM(D183:D187)</f>
        <v>4607.8000000000011</v>
      </c>
      <c r="E182" s="42"/>
      <c r="F182" s="42">
        <f>SUM(F183:F187)</f>
        <v>4442.8999999999996</v>
      </c>
      <c r="G182" s="43">
        <f t="shared" si="25"/>
        <v>4442.8999999999996</v>
      </c>
      <c r="H182" s="213" t="e">
        <f t="shared" si="26"/>
        <v>#DIV/0!</v>
      </c>
      <c r="J182" s="90"/>
      <c r="N182" s="88"/>
      <c r="O182" s="88"/>
    </row>
    <row r="183" spans="1:15" ht="24.75" customHeight="1">
      <c r="A183" s="38"/>
      <c r="B183" s="21" t="s">
        <v>190</v>
      </c>
      <c r="C183" s="63"/>
      <c r="D183" s="18">
        <v>4094.8</v>
      </c>
      <c r="E183" s="18"/>
      <c r="F183" s="18">
        <f>3666.8+301.3+150</f>
        <v>4118.1000000000004</v>
      </c>
      <c r="G183" s="15">
        <f t="shared" si="25"/>
        <v>4118.1000000000004</v>
      </c>
      <c r="H183" s="56" t="e">
        <f t="shared" si="26"/>
        <v>#DIV/0!</v>
      </c>
    </row>
    <row r="184" spans="1:15" ht="24.75" customHeight="1">
      <c r="A184" s="38"/>
      <c r="B184" s="21" t="s">
        <v>172</v>
      </c>
      <c r="C184" s="63"/>
      <c r="D184" s="18">
        <v>23.6</v>
      </c>
      <c r="E184" s="18"/>
      <c r="F184" s="18">
        <v>47.9</v>
      </c>
      <c r="G184" s="15">
        <f t="shared" si="25"/>
        <v>47.9</v>
      </c>
      <c r="H184" s="56" t="e">
        <f t="shared" si="26"/>
        <v>#DIV/0!</v>
      </c>
    </row>
    <row r="185" spans="1:15" ht="24.75" customHeight="1">
      <c r="A185" s="38"/>
      <c r="B185" s="21" t="s">
        <v>137</v>
      </c>
      <c r="C185" s="63"/>
      <c r="D185" s="18">
        <v>277.8</v>
      </c>
      <c r="E185" s="18"/>
      <c r="F185" s="18">
        <v>228.9</v>
      </c>
      <c r="G185" s="15">
        <f t="shared" si="25"/>
        <v>228.9</v>
      </c>
      <c r="H185" s="56" t="e">
        <f t="shared" si="26"/>
        <v>#DIV/0!</v>
      </c>
    </row>
    <row r="186" spans="1:15" ht="24.75" customHeight="1">
      <c r="A186" s="38"/>
      <c r="B186" s="21" t="s">
        <v>197</v>
      </c>
      <c r="C186" s="63"/>
      <c r="D186" s="18">
        <v>14.5</v>
      </c>
      <c r="E186" s="18"/>
      <c r="F186" s="18">
        <v>3</v>
      </c>
      <c r="G186" s="15">
        <f t="shared" si="25"/>
        <v>3</v>
      </c>
      <c r="H186" s="56" t="e">
        <f t="shared" si="26"/>
        <v>#DIV/0!</v>
      </c>
    </row>
    <row r="187" spans="1:15" ht="40.5" customHeight="1">
      <c r="A187" s="38"/>
      <c r="B187" s="17" t="s">
        <v>191</v>
      </c>
      <c r="C187" s="63"/>
      <c r="D187" s="18">
        <v>197.1</v>
      </c>
      <c r="E187" s="18"/>
      <c r="F187" s="18">
        <f>22+23</f>
        <v>45</v>
      </c>
      <c r="G187" s="15">
        <f t="shared" si="25"/>
        <v>45</v>
      </c>
      <c r="H187" s="56" t="e">
        <f t="shared" si="26"/>
        <v>#DIV/0!</v>
      </c>
      <c r="I187" s="20"/>
    </row>
    <row r="188" spans="1:15" ht="27.75" customHeight="1">
      <c r="A188" s="73" t="s">
        <v>490</v>
      </c>
      <c r="B188" s="40" t="s">
        <v>4</v>
      </c>
      <c r="C188" s="41">
        <v>1014</v>
      </c>
      <c r="D188" s="42"/>
      <c r="E188" s="42"/>
      <c r="F188" s="42">
        <v>14.8</v>
      </c>
      <c r="G188" s="43">
        <f t="shared" ref="G188" si="28">F188-E188</f>
        <v>14.8</v>
      </c>
      <c r="H188" s="213" t="e">
        <f t="shared" ref="H188" si="29">(F188/E188)*100</f>
        <v>#DIV/0!</v>
      </c>
      <c r="I188" s="20"/>
    </row>
    <row r="189" spans="1:15" s="86" customFormat="1" ht="24.75" customHeight="1">
      <c r="A189" s="73" t="s">
        <v>491</v>
      </c>
      <c r="B189" s="74" t="s">
        <v>97</v>
      </c>
      <c r="C189" s="70">
        <v>1015</v>
      </c>
      <c r="D189" s="42">
        <f>SUM(D190:D199)</f>
        <v>547.40000000000009</v>
      </c>
      <c r="E189" s="42"/>
      <c r="F189" s="42">
        <f>SUM(F190:F199)</f>
        <v>421.50000000000006</v>
      </c>
      <c r="G189" s="43">
        <f t="shared" si="25"/>
        <v>421.50000000000006</v>
      </c>
      <c r="H189" s="213" t="e">
        <f t="shared" si="26"/>
        <v>#DIV/0!</v>
      </c>
      <c r="I189" s="170"/>
      <c r="J189" s="90"/>
      <c r="N189" s="88"/>
      <c r="O189" s="88"/>
    </row>
    <row r="190" spans="1:15" ht="24.75" customHeight="1">
      <c r="A190" s="75"/>
      <c r="B190" s="219" t="s">
        <v>146</v>
      </c>
      <c r="C190" s="12"/>
      <c r="D190" s="18">
        <v>33.700000000000003</v>
      </c>
      <c r="E190" s="18"/>
      <c r="F190" s="18">
        <f>2.1</f>
        <v>2.1</v>
      </c>
      <c r="G190" s="15">
        <f t="shared" si="25"/>
        <v>2.1</v>
      </c>
      <c r="H190" s="56" t="e">
        <f t="shared" si="26"/>
        <v>#DIV/0!</v>
      </c>
      <c r="I190" s="20"/>
      <c r="K190" s="2"/>
    </row>
    <row r="191" spans="1:15" ht="24.75" customHeight="1">
      <c r="A191" s="75"/>
      <c r="B191" s="219" t="s">
        <v>143</v>
      </c>
      <c r="C191" s="12"/>
      <c r="D191" s="18">
        <v>10</v>
      </c>
      <c r="E191" s="18"/>
      <c r="F191" s="18"/>
      <c r="G191" s="15">
        <f t="shared" si="25"/>
        <v>0</v>
      </c>
      <c r="H191" s="56" t="e">
        <f t="shared" si="26"/>
        <v>#DIV/0!</v>
      </c>
      <c r="I191" s="20"/>
      <c r="K191" s="2"/>
    </row>
    <row r="192" spans="1:15" ht="24.75" customHeight="1">
      <c r="A192" s="75"/>
      <c r="B192" s="219" t="s">
        <v>257</v>
      </c>
      <c r="C192" s="12"/>
      <c r="D192" s="18"/>
      <c r="E192" s="18"/>
      <c r="F192" s="18">
        <v>7</v>
      </c>
      <c r="G192" s="15">
        <f t="shared" si="25"/>
        <v>7</v>
      </c>
      <c r="H192" s="56" t="e">
        <f t="shared" si="26"/>
        <v>#DIV/0!</v>
      </c>
      <c r="I192" s="20"/>
      <c r="K192" s="2"/>
    </row>
    <row r="193" spans="1:8" ht="24.75" customHeight="1">
      <c r="A193" s="38"/>
      <c r="B193" s="17" t="s">
        <v>163</v>
      </c>
      <c r="C193" s="12"/>
      <c r="D193" s="18">
        <v>429.6</v>
      </c>
      <c r="E193" s="18"/>
      <c r="F193" s="18">
        <f>319.8</f>
        <v>319.8</v>
      </c>
      <c r="G193" s="15">
        <f t="shared" si="25"/>
        <v>319.8</v>
      </c>
      <c r="H193" s="56" t="e">
        <f t="shared" si="26"/>
        <v>#DIV/0!</v>
      </c>
    </row>
    <row r="194" spans="1:8" ht="24.75" customHeight="1">
      <c r="A194" s="38"/>
      <c r="B194" s="17" t="s">
        <v>273</v>
      </c>
      <c r="C194" s="12"/>
      <c r="D194" s="18">
        <v>0.4</v>
      </c>
      <c r="E194" s="18"/>
      <c r="F194" s="18"/>
      <c r="G194" s="15">
        <f t="shared" si="25"/>
        <v>0</v>
      </c>
      <c r="H194" s="56" t="e">
        <f t="shared" si="26"/>
        <v>#DIV/0!</v>
      </c>
    </row>
    <row r="195" spans="1:8" ht="24.75" customHeight="1">
      <c r="A195" s="38"/>
      <c r="B195" s="17" t="s">
        <v>182</v>
      </c>
      <c r="C195" s="12"/>
      <c r="D195" s="18">
        <v>9.5</v>
      </c>
      <c r="E195" s="18"/>
      <c r="F195" s="18">
        <f>67.2+17.8</f>
        <v>85</v>
      </c>
      <c r="G195" s="15">
        <f t="shared" si="25"/>
        <v>85</v>
      </c>
      <c r="H195" s="56" t="e">
        <f t="shared" si="26"/>
        <v>#DIV/0!</v>
      </c>
    </row>
    <row r="196" spans="1:8" ht="24.75" customHeight="1">
      <c r="A196" s="38"/>
      <c r="B196" s="21" t="s">
        <v>161</v>
      </c>
      <c r="C196" s="12"/>
      <c r="D196" s="18"/>
      <c r="E196" s="18"/>
      <c r="F196" s="18">
        <v>2.6</v>
      </c>
      <c r="G196" s="15">
        <f t="shared" si="25"/>
        <v>2.6</v>
      </c>
      <c r="H196" s="56" t="e">
        <f t="shared" si="26"/>
        <v>#DIV/0!</v>
      </c>
    </row>
    <row r="197" spans="1:8" ht="24.75" customHeight="1">
      <c r="A197" s="38"/>
      <c r="B197" s="17" t="s">
        <v>274</v>
      </c>
      <c r="C197" s="12"/>
      <c r="D197" s="18">
        <v>59</v>
      </c>
      <c r="E197" s="18"/>
      <c r="F197" s="18"/>
      <c r="G197" s="15">
        <f t="shared" si="25"/>
        <v>0</v>
      </c>
      <c r="H197" s="56" t="e">
        <f t="shared" si="26"/>
        <v>#DIV/0!</v>
      </c>
    </row>
    <row r="198" spans="1:8" ht="24.75" customHeight="1">
      <c r="A198" s="38"/>
      <c r="B198" s="17" t="s">
        <v>168</v>
      </c>
      <c r="C198" s="12"/>
      <c r="D198" s="18"/>
      <c r="E198" s="18"/>
      <c r="F198" s="18">
        <v>2.5</v>
      </c>
      <c r="G198" s="15">
        <f t="shared" si="25"/>
        <v>2.5</v>
      </c>
      <c r="H198" s="56" t="e">
        <f t="shared" si="26"/>
        <v>#DIV/0!</v>
      </c>
    </row>
    <row r="199" spans="1:8" ht="24.75" customHeight="1">
      <c r="A199" s="38"/>
      <c r="B199" s="17" t="s">
        <v>169</v>
      </c>
      <c r="C199" s="12"/>
      <c r="D199" s="18">
        <v>5.2</v>
      </c>
      <c r="E199" s="18"/>
      <c r="F199" s="18">
        <v>2.5</v>
      </c>
      <c r="G199" s="15">
        <f t="shared" si="25"/>
        <v>2.5</v>
      </c>
      <c r="H199" s="56" t="e">
        <f t="shared" si="26"/>
        <v>#DIV/0!</v>
      </c>
    </row>
    <row r="200" spans="1:8" ht="24.75" customHeight="1">
      <c r="A200" s="38" t="s">
        <v>516</v>
      </c>
      <c r="B200" s="194" t="s">
        <v>92</v>
      </c>
      <c r="C200" s="195">
        <v>1020</v>
      </c>
      <c r="D200" s="14">
        <f>D201+D204</f>
        <v>9</v>
      </c>
      <c r="E200" s="18"/>
      <c r="F200" s="18"/>
      <c r="G200" s="15">
        <f t="shared" si="25"/>
        <v>0</v>
      </c>
      <c r="H200" s="56" t="e">
        <f t="shared" si="26"/>
        <v>#DIV/0!</v>
      </c>
    </row>
    <row r="201" spans="1:8" ht="24.75" customHeight="1">
      <c r="A201" s="73" t="s">
        <v>517</v>
      </c>
      <c r="B201" s="59" t="s">
        <v>105</v>
      </c>
      <c r="C201" s="41">
        <v>1021</v>
      </c>
      <c r="D201" s="42">
        <f>SUM(D202:D203)</f>
        <v>6.8</v>
      </c>
      <c r="E201" s="18"/>
      <c r="F201" s="18"/>
      <c r="G201" s="15">
        <f t="shared" si="25"/>
        <v>0</v>
      </c>
      <c r="H201" s="56" t="e">
        <f t="shared" si="26"/>
        <v>#DIV/0!</v>
      </c>
    </row>
    <row r="202" spans="1:8" ht="24.75" customHeight="1">
      <c r="A202" s="38"/>
      <c r="B202" s="21" t="s">
        <v>172</v>
      </c>
      <c r="C202" s="12"/>
      <c r="D202" s="18">
        <v>1.8</v>
      </c>
      <c r="E202" s="18"/>
      <c r="F202" s="18"/>
      <c r="G202" s="15">
        <f t="shared" si="25"/>
        <v>0</v>
      </c>
      <c r="H202" s="56" t="e">
        <f t="shared" si="26"/>
        <v>#DIV/0!</v>
      </c>
    </row>
    <row r="203" spans="1:8" ht="24.75" customHeight="1">
      <c r="A203" s="38"/>
      <c r="B203" s="21" t="s">
        <v>197</v>
      </c>
      <c r="C203" s="12"/>
      <c r="D203" s="18">
        <v>5</v>
      </c>
      <c r="E203" s="18"/>
      <c r="F203" s="18"/>
      <c r="G203" s="15">
        <f t="shared" si="25"/>
        <v>0</v>
      </c>
      <c r="H203" s="56" t="e">
        <f t="shared" si="26"/>
        <v>#DIV/0!</v>
      </c>
    </row>
    <row r="204" spans="1:8" ht="24.75" customHeight="1">
      <c r="A204" s="73" t="s">
        <v>518</v>
      </c>
      <c r="B204" s="59" t="s">
        <v>171</v>
      </c>
      <c r="C204" s="41">
        <v>1025</v>
      </c>
      <c r="D204" s="42">
        <f>D205</f>
        <v>2.2000000000000002</v>
      </c>
      <c r="E204" s="42"/>
      <c r="F204" s="42"/>
      <c r="G204" s="43">
        <f t="shared" si="25"/>
        <v>0</v>
      </c>
      <c r="H204" s="213" t="e">
        <f t="shared" si="26"/>
        <v>#DIV/0!</v>
      </c>
    </row>
    <row r="205" spans="1:8" ht="24.75" customHeight="1">
      <c r="A205" s="38"/>
      <c r="B205" s="21" t="s">
        <v>368</v>
      </c>
      <c r="C205" s="12"/>
      <c r="D205" s="18">
        <v>2.2000000000000002</v>
      </c>
      <c r="E205" s="18"/>
      <c r="F205" s="18"/>
      <c r="G205" s="15">
        <f t="shared" si="25"/>
        <v>0</v>
      </c>
      <c r="H205" s="56" t="e">
        <f t="shared" si="26"/>
        <v>#DIV/0!</v>
      </c>
    </row>
    <row r="206" spans="1:8" ht="32.25" customHeight="1">
      <c r="A206" s="38" t="s">
        <v>351</v>
      </c>
      <c r="B206" s="194" t="s">
        <v>369</v>
      </c>
      <c r="C206" s="203"/>
      <c r="D206" s="14">
        <f>D208</f>
        <v>544.20000000000005</v>
      </c>
      <c r="E206" s="18"/>
      <c r="F206" s="18"/>
      <c r="G206" s="15">
        <f t="shared" si="25"/>
        <v>0</v>
      </c>
      <c r="H206" s="56" t="e">
        <f t="shared" si="26"/>
        <v>#DIV/0!</v>
      </c>
    </row>
    <row r="207" spans="1:8" ht="24.75" customHeight="1">
      <c r="A207" s="75"/>
      <c r="B207" s="37" t="s">
        <v>86</v>
      </c>
      <c r="C207" s="12"/>
      <c r="D207" s="18"/>
      <c r="E207" s="18"/>
      <c r="F207" s="18"/>
      <c r="G207" s="15"/>
      <c r="H207" s="56"/>
    </row>
    <row r="208" spans="1:8" ht="24.75" customHeight="1">
      <c r="A208" s="38" t="s">
        <v>519</v>
      </c>
      <c r="B208" s="194" t="s">
        <v>90</v>
      </c>
      <c r="C208" s="195">
        <v>1010</v>
      </c>
      <c r="D208" s="14">
        <f>D209</f>
        <v>544.20000000000005</v>
      </c>
      <c r="E208" s="18"/>
      <c r="F208" s="18"/>
      <c r="G208" s="15">
        <f t="shared" si="25"/>
        <v>0</v>
      </c>
      <c r="H208" s="56" t="e">
        <f t="shared" si="26"/>
        <v>#DIV/0!</v>
      </c>
    </row>
    <row r="209" spans="1:10" ht="24.75" customHeight="1">
      <c r="A209" s="73" t="s">
        <v>352</v>
      </c>
      <c r="B209" s="59" t="s">
        <v>105</v>
      </c>
      <c r="C209" s="41">
        <v>1011</v>
      </c>
      <c r="D209" s="42">
        <f>D210</f>
        <v>544.20000000000005</v>
      </c>
      <c r="E209" s="18"/>
      <c r="F209" s="18"/>
      <c r="G209" s="15">
        <f t="shared" si="25"/>
        <v>0</v>
      </c>
      <c r="H209" s="56" t="e">
        <f t="shared" si="26"/>
        <v>#DIV/0!</v>
      </c>
    </row>
    <row r="210" spans="1:10" ht="24.75" customHeight="1">
      <c r="A210" s="38"/>
      <c r="B210" s="21" t="s">
        <v>190</v>
      </c>
      <c r="C210" s="63"/>
      <c r="D210" s="18">
        <v>544.20000000000005</v>
      </c>
      <c r="E210" s="18"/>
      <c r="F210" s="18"/>
      <c r="G210" s="15">
        <f t="shared" si="25"/>
        <v>0</v>
      </c>
      <c r="H210" s="56" t="e">
        <f t="shared" si="26"/>
        <v>#DIV/0!</v>
      </c>
    </row>
    <row r="211" spans="1:10" ht="35.25" customHeight="1">
      <c r="A211" s="38" t="s">
        <v>235</v>
      </c>
      <c r="B211" s="57" t="s">
        <v>199</v>
      </c>
      <c r="C211" s="195"/>
      <c r="D211" s="14">
        <f>D213+D231+D246</f>
        <v>510.09999999999997</v>
      </c>
      <c r="E211" s="14">
        <f>E213+E231</f>
        <v>0</v>
      </c>
      <c r="F211" s="14">
        <f>F213+F231+F246</f>
        <v>436.49999999999994</v>
      </c>
      <c r="G211" s="19">
        <f t="shared" si="25"/>
        <v>436.49999999999994</v>
      </c>
      <c r="H211" s="56" t="e">
        <f t="shared" si="26"/>
        <v>#DIV/0!</v>
      </c>
      <c r="I211" s="20"/>
    </row>
    <row r="212" spans="1:10" ht="28.5" customHeight="1">
      <c r="A212" s="38"/>
      <c r="B212" s="68" t="s">
        <v>86</v>
      </c>
      <c r="C212" s="195"/>
      <c r="D212" s="18"/>
      <c r="E212" s="18"/>
      <c r="F212" s="18"/>
      <c r="G212" s="15"/>
      <c r="H212" s="56"/>
      <c r="J212" s="28"/>
    </row>
    <row r="213" spans="1:10" ht="24.75" customHeight="1">
      <c r="A213" s="38" t="s">
        <v>520</v>
      </c>
      <c r="B213" s="194" t="s">
        <v>90</v>
      </c>
      <c r="C213" s="195">
        <v>1010</v>
      </c>
      <c r="D213" s="14">
        <f>D214+D219+D220</f>
        <v>297.89999999999998</v>
      </c>
      <c r="E213" s="14">
        <f>E214+E219+E220</f>
        <v>0</v>
      </c>
      <c r="F213" s="14">
        <f>F214+F219+F220</f>
        <v>255.79999999999995</v>
      </c>
      <c r="G213" s="19">
        <f t="shared" ref="G213:G257" si="30">F213-E213</f>
        <v>255.79999999999995</v>
      </c>
      <c r="H213" s="212" t="e">
        <f t="shared" ref="H213:H257" si="31">(F213/E213)*100</f>
        <v>#DIV/0!</v>
      </c>
    </row>
    <row r="214" spans="1:10" ht="27.75" customHeight="1">
      <c r="A214" s="73" t="s">
        <v>521</v>
      </c>
      <c r="B214" s="59" t="s">
        <v>105</v>
      </c>
      <c r="C214" s="41">
        <v>1011</v>
      </c>
      <c r="D214" s="42">
        <f>SUM(D215:D218)</f>
        <v>133.1</v>
      </c>
      <c r="E214" s="42">
        <f>SUM(E215:E218)</f>
        <v>0</v>
      </c>
      <c r="F214" s="42">
        <f>SUM(F215:F218)</f>
        <v>183.29999999999998</v>
      </c>
      <c r="G214" s="43">
        <f t="shared" si="30"/>
        <v>183.29999999999998</v>
      </c>
      <c r="H214" s="213" t="e">
        <f t="shared" si="31"/>
        <v>#DIV/0!</v>
      </c>
    </row>
    <row r="215" spans="1:10" ht="24.75" customHeight="1">
      <c r="A215" s="75"/>
      <c r="B215" s="21" t="s">
        <v>200</v>
      </c>
      <c r="C215" s="63"/>
      <c r="D215" s="18">
        <v>12.6</v>
      </c>
      <c r="E215" s="18"/>
      <c r="F215" s="18"/>
      <c r="G215" s="15">
        <f t="shared" si="30"/>
        <v>0</v>
      </c>
      <c r="H215" s="56" t="e">
        <f t="shared" si="31"/>
        <v>#DIV/0!</v>
      </c>
    </row>
    <row r="216" spans="1:10" ht="24.75" customHeight="1">
      <c r="A216" s="75"/>
      <c r="B216" s="21" t="s">
        <v>172</v>
      </c>
      <c r="C216" s="63"/>
      <c r="D216" s="18">
        <v>0.4</v>
      </c>
      <c r="E216" s="18"/>
      <c r="F216" s="18">
        <v>0.7</v>
      </c>
      <c r="G216" s="15">
        <f t="shared" si="30"/>
        <v>0.7</v>
      </c>
      <c r="H216" s="56" t="e">
        <f t="shared" si="31"/>
        <v>#DIV/0!</v>
      </c>
    </row>
    <row r="217" spans="1:10" ht="39.75" customHeight="1">
      <c r="A217" s="75"/>
      <c r="B217" s="17" t="s">
        <v>191</v>
      </c>
      <c r="C217" s="63"/>
      <c r="D217" s="18">
        <v>44.9</v>
      </c>
      <c r="E217" s="18"/>
      <c r="F217" s="18">
        <f>26-23</f>
        <v>3</v>
      </c>
      <c r="G217" s="15">
        <f t="shared" si="30"/>
        <v>3</v>
      </c>
      <c r="H217" s="56" t="e">
        <f t="shared" si="31"/>
        <v>#DIV/0!</v>
      </c>
    </row>
    <row r="218" spans="1:10" ht="24.75" customHeight="1">
      <c r="A218" s="75"/>
      <c r="B218" s="17" t="s">
        <v>197</v>
      </c>
      <c r="C218" s="63"/>
      <c r="D218" s="18">
        <v>75.2</v>
      </c>
      <c r="E218" s="18"/>
      <c r="F218" s="18">
        <v>179.6</v>
      </c>
      <c r="G218" s="15">
        <f t="shared" si="30"/>
        <v>179.6</v>
      </c>
      <c r="H218" s="56" t="e">
        <f t="shared" si="31"/>
        <v>#DIV/0!</v>
      </c>
    </row>
    <row r="219" spans="1:10" ht="24.75" customHeight="1">
      <c r="A219" s="73" t="s">
        <v>522</v>
      </c>
      <c r="B219" s="59" t="s">
        <v>4</v>
      </c>
      <c r="C219" s="70">
        <v>1014</v>
      </c>
      <c r="D219" s="42">
        <v>76.099999999999994</v>
      </c>
      <c r="E219" s="42"/>
      <c r="F219" s="42">
        <v>11.7</v>
      </c>
      <c r="G219" s="43">
        <f t="shared" si="30"/>
        <v>11.7</v>
      </c>
      <c r="H219" s="213" t="e">
        <f t="shared" si="31"/>
        <v>#DIV/0!</v>
      </c>
    </row>
    <row r="220" spans="1:10" ht="24.75" customHeight="1">
      <c r="A220" s="73" t="s">
        <v>523</v>
      </c>
      <c r="B220" s="74" t="s">
        <v>97</v>
      </c>
      <c r="C220" s="70">
        <v>1015</v>
      </c>
      <c r="D220" s="42">
        <f>SUM(D221:D230)</f>
        <v>88.700000000000017</v>
      </c>
      <c r="E220" s="42">
        <f>SUM(E221:E230)</f>
        <v>0</v>
      </c>
      <c r="F220" s="42">
        <f>SUM(F221:F230)</f>
        <v>60.8</v>
      </c>
      <c r="G220" s="43">
        <f t="shared" si="30"/>
        <v>60.8</v>
      </c>
      <c r="H220" s="213" t="e">
        <f t="shared" si="31"/>
        <v>#DIV/0!</v>
      </c>
      <c r="I220" s="20"/>
      <c r="J220" s="28"/>
    </row>
    <row r="221" spans="1:10" ht="24.75" customHeight="1">
      <c r="A221" s="38"/>
      <c r="B221" s="17" t="s">
        <v>146</v>
      </c>
      <c r="C221" s="195"/>
      <c r="D221" s="18">
        <v>1.1000000000000001</v>
      </c>
      <c r="E221" s="18"/>
      <c r="F221" s="18"/>
      <c r="G221" s="15">
        <f t="shared" si="30"/>
        <v>0</v>
      </c>
      <c r="H221" s="56" t="e">
        <f t="shared" si="31"/>
        <v>#DIV/0!</v>
      </c>
    </row>
    <row r="222" spans="1:10" ht="24.75" customHeight="1">
      <c r="A222" s="38"/>
      <c r="B222" s="17" t="s">
        <v>150</v>
      </c>
      <c r="C222" s="63"/>
      <c r="D222" s="18">
        <v>8.1999999999999993</v>
      </c>
      <c r="E222" s="18"/>
      <c r="F222" s="18">
        <f>5.3+1.1</f>
        <v>6.4</v>
      </c>
      <c r="G222" s="15">
        <f t="shared" si="30"/>
        <v>6.4</v>
      </c>
      <c r="H222" s="56" t="e">
        <f t="shared" si="31"/>
        <v>#DIV/0!</v>
      </c>
    </row>
    <row r="223" spans="1:10" ht="24.75" customHeight="1">
      <c r="A223" s="38"/>
      <c r="B223" s="17" t="s">
        <v>231</v>
      </c>
      <c r="C223" s="63"/>
      <c r="D223" s="18">
        <v>17.2</v>
      </c>
      <c r="E223" s="18"/>
      <c r="F223" s="18"/>
      <c r="G223" s="15">
        <f t="shared" si="30"/>
        <v>0</v>
      </c>
      <c r="H223" s="56" t="e">
        <f t="shared" si="31"/>
        <v>#DIV/0!</v>
      </c>
    </row>
    <row r="224" spans="1:10" ht="24.75" customHeight="1">
      <c r="A224" s="38"/>
      <c r="B224" s="17" t="s">
        <v>161</v>
      </c>
      <c r="C224" s="63"/>
      <c r="D224" s="18">
        <f>1.3+2.8</f>
        <v>4.0999999999999996</v>
      </c>
      <c r="E224" s="18"/>
      <c r="F224" s="18">
        <v>6.4</v>
      </c>
      <c r="G224" s="15">
        <f t="shared" si="30"/>
        <v>6.4</v>
      </c>
      <c r="H224" s="56" t="e">
        <f t="shared" si="31"/>
        <v>#DIV/0!</v>
      </c>
    </row>
    <row r="225" spans="1:9" ht="24.75" customHeight="1">
      <c r="A225" s="38"/>
      <c r="B225" s="17" t="s">
        <v>162</v>
      </c>
      <c r="C225" s="63"/>
      <c r="D225" s="18">
        <v>21.6</v>
      </c>
      <c r="E225" s="18"/>
      <c r="F225" s="18">
        <f>6.3+5.4</f>
        <v>11.7</v>
      </c>
      <c r="G225" s="15">
        <f t="shared" si="30"/>
        <v>11.7</v>
      </c>
      <c r="H225" s="56" t="e">
        <f t="shared" si="31"/>
        <v>#DIV/0!</v>
      </c>
    </row>
    <row r="226" spans="1:9" ht="24.75" customHeight="1">
      <c r="A226" s="38"/>
      <c r="B226" s="17" t="s">
        <v>273</v>
      </c>
      <c r="C226" s="63"/>
      <c r="D226" s="18">
        <v>0.4</v>
      </c>
      <c r="E226" s="18"/>
      <c r="F226" s="18">
        <f>0.3</f>
        <v>0.3</v>
      </c>
      <c r="G226" s="15">
        <f t="shared" si="30"/>
        <v>0.3</v>
      </c>
      <c r="H226" s="56" t="e">
        <f t="shared" si="31"/>
        <v>#DIV/0!</v>
      </c>
    </row>
    <row r="227" spans="1:9" ht="24.75" customHeight="1">
      <c r="A227" s="38"/>
      <c r="B227" s="17" t="s">
        <v>160</v>
      </c>
      <c r="C227" s="63"/>
      <c r="D227" s="18">
        <v>1.5</v>
      </c>
      <c r="E227" s="18"/>
      <c r="F227" s="18">
        <f>1.8+1</f>
        <v>2.8</v>
      </c>
      <c r="G227" s="15">
        <f t="shared" si="30"/>
        <v>2.8</v>
      </c>
      <c r="H227" s="56" t="e">
        <f t="shared" si="31"/>
        <v>#DIV/0!</v>
      </c>
    </row>
    <row r="228" spans="1:9" ht="24.75" customHeight="1">
      <c r="A228" s="38"/>
      <c r="B228" s="17" t="s">
        <v>206</v>
      </c>
      <c r="C228" s="63"/>
      <c r="D228" s="18">
        <v>1.2</v>
      </c>
      <c r="E228" s="18"/>
      <c r="F228" s="18"/>
      <c r="G228" s="15">
        <f t="shared" si="30"/>
        <v>0</v>
      </c>
      <c r="H228" s="56" t="e">
        <f t="shared" si="31"/>
        <v>#DIV/0!</v>
      </c>
    </row>
    <row r="229" spans="1:9" ht="24.75" customHeight="1">
      <c r="A229" s="38"/>
      <c r="B229" s="17" t="s">
        <v>256</v>
      </c>
      <c r="C229" s="63"/>
      <c r="D229" s="18">
        <v>9.3000000000000007</v>
      </c>
      <c r="E229" s="18"/>
      <c r="F229" s="18">
        <f>11.2</f>
        <v>11.2</v>
      </c>
      <c r="G229" s="15">
        <f t="shared" si="30"/>
        <v>11.2</v>
      </c>
      <c r="H229" s="56" t="e">
        <f t="shared" si="31"/>
        <v>#DIV/0!</v>
      </c>
    </row>
    <row r="230" spans="1:9" ht="24.75" customHeight="1">
      <c r="A230" s="38"/>
      <c r="B230" s="17" t="s">
        <v>205</v>
      </c>
      <c r="C230" s="63"/>
      <c r="D230" s="18">
        <v>24.1</v>
      </c>
      <c r="E230" s="18"/>
      <c r="F230" s="18">
        <f>21.5+0.5</f>
        <v>22</v>
      </c>
      <c r="G230" s="15">
        <f t="shared" si="30"/>
        <v>22</v>
      </c>
      <c r="H230" s="56" t="e">
        <f t="shared" si="31"/>
        <v>#DIV/0!</v>
      </c>
    </row>
    <row r="231" spans="1:9" ht="30.75" customHeight="1">
      <c r="A231" s="38" t="s">
        <v>524</v>
      </c>
      <c r="B231" s="194" t="s">
        <v>92</v>
      </c>
      <c r="C231" s="195">
        <v>1020</v>
      </c>
      <c r="D231" s="14">
        <f>D232+D235</f>
        <v>113.9</v>
      </c>
      <c r="E231" s="14">
        <f>E232+E235</f>
        <v>0</v>
      </c>
      <c r="F231" s="14">
        <f>F232+F235</f>
        <v>115.89999999999999</v>
      </c>
      <c r="G231" s="19">
        <f t="shared" si="30"/>
        <v>115.89999999999999</v>
      </c>
      <c r="H231" s="212" t="e">
        <f t="shared" si="31"/>
        <v>#DIV/0!</v>
      </c>
      <c r="I231" s="20"/>
    </row>
    <row r="232" spans="1:9" ht="33.75" customHeight="1">
      <c r="A232" s="73" t="s">
        <v>353</v>
      </c>
      <c r="B232" s="72" t="s">
        <v>105</v>
      </c>
      <c r="C232" s="70">
        <v>1021</v>
      </c>
      <c r="D232" s="42">
        <f>SUM(D233:D234)</f>
        <v>24.8</v>
      </c>
      <c r="E232" s="42">
        <f>E233</f>
        <v>0</v>
      </c>
      <c r="F232" s="42">
        <f>F233</f>
        <v>0</v>
      </c>
      <c r="G232" s="43">
        <f t="shared" si="30"/>
        <v>0</v>
      </c>
      <c r="H232" s="213" t="e">
        <f t="shared" si="31"/>
        <v>#DIV/0!</v>
      </c>
    </row>
    <row r="233" spans="1:9" ht="28.5" customHeight="1">
      <c r="A233" s="38"/>
      <c r="B233" s="219" t="s">
        <v>197</v>
      </c>
      <c r="C233" s="195"/>
      <c r="D233" s="18">
        <v>20.100000000000001</v>
      </c>
      <c r="E233" s="18"/>
      <c r="F233" s="18"/>
      <c r="G233" s="15">
        <f t="shared" si="30"/>
        <v>0</v>
      </c>
      <c r="H233" s="56" t="e">
        <f t="shared" si="31"/>
        <v>#DIV/0!</v>
      </c>
    </row>
    <row r="234" spans="1:9" ht="51.75" customHeight="1">
      <c r="A234" s="38"/>
      <c r="B234" s="17" t="s">
        <v>191</v>
      </c>
      <c r="C234" s="195"/>
      <c r="D234" s="18">
        <v>4.7</v>
      </c>
      <c r="E234" s="18"/>
      <c r="F234" s="18"/>
      <c r="G234" s="15">
        <f t="shared" si="30"/>
        <v>0</v>
      </c>
      <c r="H234" s="56" t="e">
        <f t="shared" si="31"/>
        <v>#DIV/0!</v>
      </c>
    </row>
    <row r="235" spans="1:9" ht="30" customHeight="1">
      <c r="A235" s="73" t="s">
        <v>525</v>
      </c>
      <c r="B235" s="59" t="s">
        <v>171</v>
      </c>
      <c r="C235" s="41">
        <v>1025</v>
      </c>
      <c r="D235" s="42">
        <f>SUM(D236:D245)</f>
        <v>89.100000000000009</v>
      </c>
      <c r="E235" s="42">
        <f>SUM(E236:E245)</f>
        <v>0</v>
      </c>
      <c r="F235" s="42">
        <f>SUM(F236:F245)</f>
        <v>115.89999999999999</v>
      </c>
      <c r="G235" s="43">
        <f t="shared" si="30"/>
        <v>115.89999999999999</v>
      </c>
      <c r="H235" s="213" t="e">
        <f t="shared" si="31"/>
        <v>#DIV/0!</v>
      </c>
    </row>
    <row r="236" spans="1:9" ht="24.75" customHeight="1">
      <c r="A236" s="38"/>
      <c r="B236" s="21" t="s">
        <v>150</v>
      </c>
      <c r="C236" s="63"/>
      <c r="D236" s="18">
        <v>2.8</v>
      </c>
      <c r="E236" s="18"/>
      <c r="F236" s="18">
        <f>2.1</f>
        <v>2.1</v>
      </c>
      <c r="G236" s="15">
        <f t="shared" si="30"/>
        <v>2.1</v>
      </c>
      <c r="H236" s="56" t="e">
        <f t="shared" si="31"/>
        <v>#DIV/0!</v>
      </c>
    </row>
    <row r="237" spans="1:9" ht="40.5" customHeight="1">
      <c r="A237" s="38"/>
      <c r="B237" s="17" t="s">
        <v>198</v>
      </c>
      <c r="C237" s="45"/>
      <c r="D237" s="18">
        <v>36.700000000000003</v>
      </c>
      <c r="E237" s="18"/>
      <c r="F237" s="18">
        <f>26.9+17.1</f>
        <v>44</v>
      </c>
      <c r="G237" s="15">
        <f t="shared" si="30"/>
        <v>44</v>
      </c>
      <c r="H237" s="56" t="e">
        <f t="shared" si="31"/>
        <v>#DIV/0!</v>
      </c>
    </row>
    <row r="238" spans="1:9" ht="27.75" customHeight="1">
      <c r="A238" s="38"/>
      <c r="B238" s="17" t="s">
        <v>165</v>
      </c>
      <c r="C238" s="45"/>
      <c r="D238" s="18">
        <v>4.0999999999999996</v>
      </c>
      <c r="E238" s="18"/>
      <c r="F238" s="18">
        <f>2+2.6</f>
        <v>4.5999999999999996</v>
      </c>
      <c r="G238" s="15">
        <f t="shared" si="30"/>
        <v>4.5999999999999996</v>
      </c>
      <c r="H238" s="56" t="e">
        <f t="shared" si="31"/>
        <v>#DIV/0!</v>
      </c>
    </row>
    <row r="239" spans="1:9" ht="24" customHeight="1">
      <c r="A239" s="38"/>
      <c r="B239" s="17" t="s">
        <v>183</v>
      </c>
      <c r="C239" s="45"/>
      <c r="D239" s="18">
        <v>0.8</v>
      </c>
      <c r="E239" s="18"/>
      <c r="F239" s="18">
        <v>1.3</v>
      </c>
      <c r="G239" s="15">
        <f t="shared" si="30"/>
        <v>1.3</v>
      </c>
      <c r="H239" s="56" t="e">
        <f t="shared" si="31"/>
        <v>#DIV/0!</v>
      </c>
    </row>
    <row r="240" spans="1:9" ht="24" customHeight="1">
      <c r="A240" s="38"/>
      <c r="B240" s="17" t="s">
        <v>242</v>
      </c>
      <c r="C240" s="45"/>
      <c r="D240" s="18">
        <v>12.3</v>
      </c>
      <c r="E240" s="18"/>
      <c r="F240" s="18">
        <f>9+1.5</f>
        <v>10.5</v>
      </c>
      <c r="G240" s="15">
        <f t="shared" si="30"/>
        <v>10.5</v>
      </c>
      <c r="H240" s="56" t="e">
        <f t="shared" si="31"/>
        <v>#DIV/0!</v>
      </c>
    </row>
    <row r="241" spans="1:11" ht="24" customHeight="1">
      <c r="A241" s="38"/>
      <c r="B241" s="17" t="s">
        <v>161</v>
      </c>
      <c r="C241" s="45"/>
      <c r="D241" s="18">
        <v>9</v>
      </c>
      <c r="E241" s="18"/>
      <c r="F241" s="18"/>
      <c r="G241" s="15">
        <f t="shared" si="30"/>
        <v>0</v>
      </c>
      <c r="H241" s="56" t="e">
        <f t="shared" si="31"/>
        <v>#DIV/0!</v>
      </c>
    </row>
    <row r="242" spans="1:11" ht="24" customHeight="1">
      <c r="A242" s="38"/>
      <c r="B242" s="17" t="s">
        <v>206</v>
      </c>
      <c r="C242" s="45"/>
      <c r="D242" s="18">
        <v>5</v>
      </c>
      <c r="E242" s="18"/>
      <c r="F242" s="18"/>
      <c r="G242" s="15">
        <f t="shared" si="30"/>
        <v>0</v>
      </c>
      <c r="H242" s="56" t="e">
        <f t="shared" si="31"/>
        <v>#DIV/0!</v>
      </c>
    </row>
    <row r="243" spans="1:11" ht="24" customHeight="1">
      <c r="A243" s="38"/>
      <c r="B243" s="17" t="s">
        <v>238</v>
      </c>
      <c r="C243" s="63"/>
      <c r="D243" s="18">
        <v>5.9</v>
      </c>
      <c r="E243" s="18"/>
      <c r="F243" s="18">
        <f>14.3+6.8</f>
        <v>21.1</v>
      </c>
      <c r="G243" s="15">
        <f t="shared" si="30"/>
        <v>21.1</v>
      </c>
      <c r="H243" s="56" t="e">
        <f t="shared" si="31"/>
        <v>#DIV/0!</v>
      </c>
    </row>
    <row r="244" spans="1:11" ht="24" customHeight="1">
      <c r="A244" s="38"/>
      <c r="B244" s="17" t="s">
        <v>162</v>
      </c>
      <c r="C244" s="63"/>
      <c r="D244" s="18">
        <v>3.7</v>
      </c>
      <c r="E244" s="18"/>
      <c r="F244" s="18">
        <f>3.6</f>
        <v>3.6</v>
      </c>
      <c r="G244" s="15">
        <f t="shared" si="30"/>
        <v>3.6</v>
      </c>
      <c r="H244" s="56" t="e">
        <f t="shared" si="31"/>
        <v>#DIV/0!</v>
      </c>
    </row>
    <row r="245" spans="1:11" ht="26.25" customHeight="1">
      <c r="A245" s="38"/>
      <c r="B245" s="17" t="s">
        <v>155</v>
      </c>
      <c r="C245" s="45"/>
      <c r="D245" s="18">
        <v>8.8000000000000007</v>
      </c>
      <c r="E245" s="18"/>
      <c r="F245" s="18">
        <f>14.7+14</f>
        <v>28.7</v>
      </c>
      <c r="G245" s="15">
        <f t="shared" si="30"/>
        <v>28.7</v>
      </c>
      <c r="H245" s="56" t="e">
        <f t="shared" si="31"/>
        <v>#DIV/0!</v>
      </c>
    </row>
    <row r="246" spans="1:11" ht="26.25" customHeight="1">
      <c r="A246" s="38" t="s">
        <v>526</v>
      </c>
      <c r="B246" s="57" t="s">
        <v>232</v>
      </c>
      <c r="C246" s="63">
        <v>1030</v>
      </c>
      <c r="D246" s="18">
        <f>D247</f>
        <v>98.300000000000011</v>
      </c>
      <c r="E246" s="18"/>
      <c r="F246" s="14">
        <f>F247</f>
        <v>64.8</v>
      </c>
      <c r="G246" s="15">
        <f t="shared" si="30"/>
        <v>64.8</v>
      </c>
      <c r="H246" s="56" t="e">
        <f t="shared" si="31"/>
        <v>#DIV/0!</v>
      </c>
    </row>
    <row r="247" spans="1:11" ht="26.25" customHeight="1">
      <c r="A247" s="73" t="s">
        <v>527</v>
      </c>
      <c r="B247" s="40" t="s">
        <v>232</v>
      </c>
      <c r="C247" s="41">
        <v>1035</v>
      </c>
      <c r="D247" s="18">
        <f>SUM(D248:D249)</f>
        <v>98.300000000000011</v>
      </c>
      <c r="E247" s="18"/>
      <c r="F247" s="42">
        <f>F248+F249</f>
        <v>64.8</v>
      </c>
      <c r="G247" s="15">
        <f t="shared" si="30"/>
        <v>64.8</v>
      </c>
      <c r="H247" s="56" t="e">
        <f t="shared" si="31"/>
        <v>#DIV/0!</v>
      </c>
    </row>
    <row r="248" spans="1:11" ht="22.5" customHeight="1">
      <c r="A248" s="38"/>
      <c r="B248" s="17" t="s">
        <v>195</v>
      </c>
      <c r="C248" s="45"/>
      <c r="D248" s="18">
        <v>79.2</v>
      </c>
      <c r="E248" s="18"/>
      <c r="F248" s="18">
        <v>64.8</v>
      </c>
      <c r="G248" s="15">
        <f t="shared" si="30"/>
        <v>64.8</v>
      </c>
      <c r="H248" s="56" t="e">
        <f t="shared" si="31"/>
        <v>#DIV/0!</v>
      </c>
    </row>
    <row r="249" spans="1:11" ht="22.5" customHeight="1">
      <c r="A249" s="38"/>
      <c r="B249" s="17" t="s">
        <v>227</v>
      </c>
      <c r="C249" s="45"/>
      <c r="D249" s="18">
        <v>19.100000000000001</v>
      </c>
      <c r="E249" s="18"/>
      <c r="F249" s="18"/>
      <c r="G249" s="15">
        <f t="shared" si="30"/>
        <v>0</v>
      </c>
      <c r="H249" s="56" t="e">
        <f t="shared" si="31"/>
        <v>#DIV/0!</v>
      </c>
    </row>
    <row r="250" spans="1:11" ht="30" customHeight="1">
      <c r="A250" s="38" t="s">
        <v>528</v>
      </c>
      <c r="B250" s="204" t="s">
        <v>201</v>
      </c>
      <c r="C250" s="63"/>
      <c r="D250" s="14">
        <f>D252+D255</f>
        <v>4502.9000000000005</v>
      </c>
      <c r="E250" s="14">
        <f>E252+E255</f>
        <v>3387</v>
      </c>
      <c r="F250" s="14">
        <f>F252+F255</f>
        <v>6057.6</v>
      </c>
      <c r="G250" s="19">
        <f t="shared" si="30"/>
        <v>2670.6000000000004</v>
      </c>
      <c r="H250" s="19">
        <f t="shared" si="31"/>
        <v>178.84853852967228</v>
      </c>
      <c r="J250" s="28"/>
    </row>
    <row r="251" spans="1:11" ht="27.75" customHeight="1">
      <c r="A251" s="38"/>
      <c r="B251" s="37" t="s">
        <v>86</v>
      </c>
      <c r="C251" s="63"/>
      <c r="D251" s="18"/>
      <c r="E251" s="18"/>
      <c r="F251" s="18"/>
      <c r="G251" s="15"/>
      <c r="H251" s="15"/>
    </row>
    <row r="252" spans="1:11" ht="27.75" customHeight="1">
      <c r="A252" s="38" t="s">
        <v>529</v>
      </c>
      <c r="B252" s="204" t="s">
        <v>90</v>
      </c>
      <c r="C252" s="63">
        <v>1010</v>
      </c>
      <c r="D252" s="14">
        <f t="shared" ref="D252:F253" si="32">D253</f>
        <v>4266.3</v>
      </c>
      <c r="E252" s="14">
        <f t="shared" si="32"/>
        <v>3210</v>
      </c>
      <c r="F252" s="14">
        <f t="shared" si="32"/>
        <v>4677.2</v>
      </c>
      <c r="G252" s="19">
        <f t="shared" si="30"/>
        <v>1467.1999999999998</v>
      </c>
      <c r="H252" s="19">
        <f t="shared" si="31"/>
        <v>145.70716510903426</v>
      </c>
      <c r="I252" s="115"/>
      <c r="J252" s="28"/>
      <c r="K252" s="28"/>
    </row>
    <row r="253" spans="1:11" ht="27.75" customHeight="1">
      <c r="A253" s="73" t="s">
        <v>530</v>
      </c>
      <c r="B253" s="74" t="s">
        <v>4</v>
      </c>
      <c r="C253" s="41">
        <v>1014</v>
      </c>
      <c r="D253" s="42">
        <f t="shared" si="32"/>
        <v>4266.3</v>
      </c>
      <c r="E253" s="42">
        <f t="shared" si="32"/>
        <v>3210</v>
      </c>
      <c r="F253" s="42">
        <f t="shared" si="32"/>
        <v>4677.2</v>
      </c>
      <c r="G253" s="43">
        <f t="shared" si="30"/>
        <v>1467.1999999999998</v>
      </c>
      <c r="H253" s="43">
        <f t="shared" si="31"/>
        <v>145.70716510903426</v>
      </c>
    </row>
    <row r="254" spans="1:11" ht="24.75" customHeight="1">
      <c r="A254" s="38"/>
      <c r="B254" s="219" t="s">
        <v>202</v>
      </c>
      <c r="C254" s="63"/>
      <c r="D254" s="18">
        <v>4266.3</v>
      </c>
      <c r="E254" s="18">
        <v>3210</v>
      </c>
      <c r="F254" s="18">
        <f>5095.7-451.3+47.6-14.8</f>
        <v>4677.2</v>
      </c>
      <c r="G254" s="15">
        <f t="shared" si="30"/>
        <v>1467.1999999999998</v>
      </c>
      <c r="H254" s="15">
        <f t="shared" si="31"/>
        <v>145.70716510903426</v>
      </c>
      <c r="I254" s="20"/>
    </row>
    <row r="255" spans="1:11" ht="27.75" customHeight="1">
      <c r="A255" s="38" t="s">
        <v>531</v>
      </c>
      <c r="B255" s="204" t="s">
        <v>92</v>
      </c>
      <c r="C255" s="63">
        <v>1020</v>
      </c>
      <c r="D255" s="14">
        <f t="shared" ref="D255:F256" si="33">D256</f>
        <v>236.6</v>
      </c>
      <c r="E255" s="14">
        <f>E256</f>
        <v>177</v>
      </c>
      <c r="F255" s="14">
        <f t="shared" si="33"/>
        <v>1380.4</v>
      </c>
      <c r="G255" s="19">
        <f t="shared" si="30"/>
        <v>1203.4000000000001</v>
      </c>
      <c r="H255" s="19">
        <f t="shared" si="31"/>
        <v>779.88700564971759</v>
      </c>
      <c r="I255" s="20"/>
    </row>
    <row r="256" spans="1:11" ht="27.75" customHeight="1">
      <c r="A256" s="73" t="s">
        <v>532</v>
      </c>
      <c r="B256" s="74" t="s">
        <v>4</v>
      </c>
      <c r="C256" s="41">
        <v>1024</v>
      </c>
      <c r="D256" s="42">
        <f t="shared" si="33"/>
        <v>236.6</v>
      </c>
      <c r="E256" s="42">
        <f t="shared" si="33"/>
        <v>177</v>
      </c>
      <c r="F256" s="42">
        <f t="shared" si="33"/>
        <v>1380.4</v>
      </c>
      <c r="G256" s="43">
        <f t="shared" si="30"/>
        <v>1203.4000000000001</v>
      </c>
      <c r="H256" s="43">
        <f t="shared" si="31"/>
        <v>779.88700564971759</v>
      </c>
    </row>
    <row r="257" spans="1:15" ht="27.75" customHeight="1">
      <c r="A257" s="24"/>
      <c r="B257" s="219" t="s">
        <v>229</v>
      </c>
      <c r="C257" s="4"/>
      <c r="D257" s="196">
        <v>236.6</v>
      </c>
      <c r="E257" s="196">
        <v>177</v>
      </c>
      <c r="F257" s="196">
        <f>976.7+451.3-47.6</f>
        <v>1380.4</v>
      </c>
      <c r="G257" s="84">
        <f t="shared" si="30"/>
        <v>1203.4000000000001</v>
      </c>
      <c r="H257" s="84">
        <f t="shared" si="31"/>
        <v>779.88700564971759</v>
      </c>
    </row>
    <row r="258" spans="1:15" ht="53.25" customHeight="1">
      <c r="B258" s="82" t="s">
        <v>209</v>
      </c>
      <c r="C258" s="30"/>
      <c r="D258" s="246"/>
      <c r="E258" s="246"/>
      <c r="F258" s="240" t="s">
        <v>184</v>
      </c>
      <c r="G258" s="240"/>
      <c r="H258" s="240"/>
    </row>
    <row r="259" spans="1:15" ht="34.5" customHeight="1">
      <c r="B259" s="205"/>
      <c r="C259" s="2"/>
      <c r="D259" s="244" t="s">
        <v>66</v>
      </c>
      <c r="E259" s="244"/>
      <c r="F259" s="241" t="s">
        <v>17</v>
      </c>
      <c r="G259" s="241"/>
      <c r="H259" s="241"/>
    </row>
    <row r="260" spans="1:15" ht="29.25" customHeight="1">
      <c r="B260" s="7"/>
      <c r="D260" s="110"/>
      <c r="E260" s="6"/>
      <c r="F260" s="6"/>
    </row>
    <row r="261" spans="1:15" ht="35.25" customHeight="1">
      <c r="B261" s="7"/>
      <c r="D261" s="110"/>
      <c r="E261" s="6"/>
      <c r="F261" s="6"/>
    </row>
    <row r="262" spans="1:15" ht="35.25" customHeight="1">
      <c r="B262" s="7"/>
      <c r="D262" s="110"/>
      <c r="E262" s="6"/>
      <c r="F262" s="6"/>
    </row>
    <row r="263" spans="1:15" s="5" customFormat="1" ht="39" customHeight="1">
      <c r="A263" s="2"/>
      <c r="B263" s="7"/>
      <c r="C263" s="205"/>
      <c r="D263" s="110"/>
      <c r="E263" s="6"/>
      <c r="F263" s="6"/>
      <c r="G263" s="2"/>
      <c r="H263" s="2"/>
      <c r="J263" s="89"/>
      <c r="N263" s="83"/>
      <c r="O263" s="83"/>
    </row>
    <row r="264" spans="1:15" s="5" customFormat="1" ht="32.25" customHeight="1">
      <c r="A264" s="2"/>
      <c r="B264" s="7"/>
      <c r="C264" s="205"/>
      <c r="D264" s="110"/>
      <c r="E264" s="6"/>
      <c r="F264" s="6"/>
      <c r="G264" s="2"/>
      <c r="H264" s="2"/>
      <c r="J264" s="89"/>
      <c r="N264" s="83"/>
      <c r="O264" s="83"/>
    </row>
    <row r="265" spans="1:15" s="5" customFormat="1" ht="31.5" customHeight="1">
      <c r="A265" s="2"/>
      <c r="B265" s="7"/>
      <c r="C265" s="205"/>
      <c r="D265" s="110"/>
      <c r="E265" s="6"/>
      <c r="F265" s="6"/>
      <c r="G265" s="2"/>
      <c r="H265" s="2"/>
      <c r="J265" s="89"/>
      <c r="N265" s="83"/>
      <c r="O265" s="83"/>
    </row>
    <row r="266" spans="1:15" s="5" customFormat="1" ht="31.5" customHeight="1">
      <c r="A266" s="2"/>
      <c r="B266" s="7"/>
      <c r="C266" s="205"/>
      <c r="D266" s="110"/>
      <c r="E266" s="6"/>
      <c r="F266" s="6"/>
      <c r="G266" s="2"/>
      <c r="H266" s="2"/>
      <c r="J266" s="89"/>
      <c r="N266" s="83"/>
      <c r="O266" s="83"/>
    </row>
    <row r="267" spans="1:15" s="5" customFormat="1" ht="29.25" customHeight="1">
      <c r="A267" s="2"/>
      <c r="B267" s="7"/>
      <c r="C267" s="205"/>
      <c r="D267" s="110"/>
      <c r="E267" s="6"/>
      <c r="F267" s="6"/>
      <c r="G267" s="2"/>
      <c r="H267" s="2"/>
      <c r="J267" s="89"/>
      <c r="N267" s="83"/>
      <c r="O267" s="83"/>
    </row>
    <row r="268" spans="1:15" s="5" customFormat="1" ht="35.25" customHeight="1">
      <c r="A268" s="2"/>
      <c r="B268" s="7"/>
      <c r="C268" s="205"/>
      <c r="D268" s="110"/>
      <c r="E268" s="6"/>
      <c r="F268" s="6"/>
      <c r="G268" s="2"/>
      <c r="H268" s="2"/>
      <c r="J268" s="89"/>
      <c r="N268" s="83"/>
      <c r="O268" s="83"/>
    </row>
    <row r="269" spans="1:15" s="5" customFormat="1" ht="41.25" customHeight="1">
      <c r="A269" s="2"/>
      <c r="B269" s="7"/>
      <c r="C269" s="205"/>
      <c r="D269" s="110"/>
      <c r="E269" s="6"/>
      <c r="F269" s="6"/>
      <c r="G269" s="2"/>
      <c r="H269" s="2"/>
      <c r="J269" s="89"/>
      <c r="N269" s="83"/>
      <c r="O269" s="83"/>
    </row>
    <row r="270" spans="1:15" s="5" customFormat="1" ht="35.25" customHeight="1">
      <c r="A270" s="2"/>
      <c r="B270" s="7"/>
      <c r="C270" s="205"/>
      <c r="D270" s="110"/>
      <c r="E270" s="6"/>
      <c r="F270" s="6"/>
      <c r="G270" s="2"/>
      <c r="H270" s="2"/>
      <c r="J270" s="89"/>
      <c r="N270" s="83"/>
      <c r="O270" s="83"/>
    </row>
    <row r="271" spans="1:15" s="5" customFormat="1" ht="41.25" customHeight="1">
      <c r="A271" s="2"/>
      <c r="B271" s="7"/>
      <c r="C271" s="205"/>
      <c r="D271" s="110"/>
      <c r="E271" s="6"/>
      <c r="F271" s="6"/>
      <c r="G271" s="2"/>
      <c r="H271" s="2"/>
      <c r="J271" s="89"/>
      <c r="N271" s="83"/>
      <c r="O271" s="83"/>
    </row>
    <row r="272" spans="1:15" s="5" customFormat="1" ht="37.5" customHeight="1">
      <c r="A272" s="2"/>
      <c r="B272" s="7"/>
      <c r="C272" s="205"/>
      <c r="D272" s="110"/>
      <c r="E272" s="6"/>
      <c r="F272" s="6"/>
      <c r="G272" s="2"/>
      <c r="H272" s="2"/>
      <c r="J272" s="89"/>
      <c r="N272" s="83"/>
      <c r="O272" s="83"/>
    </row>
    <row r="273" spans="1:15" s="5" customFormat="1" ht="37.5" customHeight="1">
      <c r="A273" s="2"/>
      <c r="B273" s="7"/>
      <c r="C273" s="205"/>
      <c r="D273" s="110"/>
      <c r="E273" s="6"/>
      <c r="F273" s="6"/>
      <c r="G273" s="2"/>
      <c r="H273" s="2"/>
      <c r="J273" s="89"/>
      <c r="N273" s="83"/>
      <c r="O273" s="83"/>
    </row>
    <row r="274" spans="1:15" s="5" customFormat="1" ht="39" customHeight="1">
      <c r="A274" s="2"/>
      <c r="B274" s="7"/>
      <c r="C274" s="205"/>
      <c r="D274" s="110"/>
      <c r="E274" s="6"/>
      <c r="F274" s="6"/>
      <c r="G274" s="2"/>
      <c r="H274" s="2"/>
      <c r="J274" s="89"/>
      <c r="N274" s="83"/>
      <c r="O274" s="83"/>
    </row>
    <row r="275" spans="1:15" s="5" customFormat="1" ht="35.25" customHeight="1">
      <c r="A275" s="2"/>
      <c r="B275" s="7"/>
      <c r="C275" s="205"/>
      <c r="D275" s="110"/>
      <c r="E275" s="6"/>
      <c r="F275" s="6"/>
      <c r="G275" s="2"/>
      <c r="H275" s="2"/>
      <c r="J275" s="89"/>
      <c r="N275" s="83"/>
      <c r="O275" s="83"/>
    </row>
    <row r="276" spans="1:15" s="5" customFormat="1" ht="37.5" customHeight="1">
      <c r="A276" s="2"/>
      <c r="B276" s="7"/>
      <c r="C276" s="205"/>
      <c r="D276" s="110"/>
      <c r="E276" s="6"/>
      <c r="F276" s="6"/>
      <c r="G276" s="2"/>
      <c r="H276" s="2"/>
      <c r="J276" s="89"/>
      <c r="N276" s="83"/>
      <c r="O276" s="83"/>
    </row>
    <row r="277" spans="1:15" s="5" customFormat="1" ht="31.5" customHeight="1">
      <c r="A277" s="2"/>
      <c r="B277" s="7"/>
      <c r="C277" s="205"/>
      <c r="D277" s="110"/>
      <c r="E277" s="6"/>
      <c r="F277" s="6"/>
      <c r="G277" s="2"/>
      <c r="H277" s="2"/>
      <c r="J277" s="89"/>
      <c r="N277" s="83"/>
      <c r="O277" s="83"/>
    </row>
    <row r="278" spans="1:15" s="5" customFormat="1" ht="31.5" customHeight="1">
      <c r="A278" s="2"/>
      <c r="B278" s="7"/>
      <c r="C278" s="205"/>
      <c r="D278" s="110"/>
      <c r="E278" s="6"/>
      <c r="F278" s="6"/>
      <c r="G278" s="2"/>
      <c r="H278" s="2"/>
      <c r="J278" s="89"/>
      <c r="N278" s="83"/>
      <c r="O278" s="83"/>
    </row>
    <row r="279" spans="1:15">
      <c r="B279" s="7"/>
      <c r="D279" s="110"/>
      <c r="E279" s="6"/>
      <c r="F279" s="6"/>
    </row>
    <row r="280" spans="1:15" ht="24.75" customHeight="1">
      <c r="B280" s="7"/>
      <c r="D280" s="110"/>
      <c r="E280" s="6"/>
      <c r="F280" s="6"/>
    </row>
    <row r="281" spans="1:15">
      <c r="B281" s="7"/>
      <c r="D281" s="110"/>
      <c r="E281" s="6"/>
      <c r="F281" s="6"/>
    </row>
    <row r="282" spans="1:15">
      <c r="B282" s="7"/>
      <c r="D282" s="110"/>
      <c r="E282" s="6"/>
      <c r="F282" s="6"/>
    </row>
    <row r="283" spans="1:15">
      <c r="B283" s="7"/>
      <c r="D283" s="110"/>
      <c r="E283" s="6"/>
      <c r="F283" s="6"/>
    </row>
    <row r="284" spans="1:15">
      <c r="B284" s="7"/>
      <c r="D284" s="110"/>
      <c r="E284" s="6"/>
      <c r="F284" s="6"/>
    </row>
    <row r="285" spans="1:15">
      <c r="B285" s="7"/>
      <c r="D285" s="110"/>
      <c r="E285" s="6"/>
      <c r="F285" s="6"/>
    </row>
    <row r="286" spans="1:15">
      <c r="B286" s="7"/>
      <c r="D286" s="110"/>
      <c r="E286" s="6"/>
      <c r="F286" s="6"/>
    </row>
    <row r="287" spans="1:15">
      <c r="B287" s="7"/>
      <c r="D287" s="110"/>
      <c r="E287" s="6"/>
      <c r="F287" s="6"/>
    </row>
    <row r="288" spans="1:15">
      <c r="B288" s="7"/>
      <c r="D288" s="110"/>
      <c r="E288" s="6"/>
      <c r="F288" s="6"/>
    </row>
    <row r="289" spans="2:6">
      <c r="B289" s="7"/>
      <c r="D289" s="110"/>
      <c r="E289" s="6"/>
      <c r="F289" s="6"/>
    </row>
    <row r="290" spans="2:6">
      <c r="B290" s="7"/>
      <c r="D290" s="110"/>
      <c r="E290" s="6"/>
      <c r="F290" s="6"/>
    </row>
    <row r="291" spans="2:6">
      <c r="B291" s="7"/>
      <c r="D291" s="110"/>
      <c r="E291" s="6"/>
      <c r="F291" s="6"/>
    </row>
    <row r="292" spans="2:6">
      <c r="B292" s="7"/>
      <c r="D292" s="110"/>
      <c r="E292" s="6"/>
      <c r="F292" s="6"/>
    </row>
    <row r="293" spans="2:6">
      <c r="B293" s="7"/>
      <c r="D293" s="110"/>
      <c r="E293" s="6"/>
      <c r="F293" s="6"/>
    </row>
    <row r="294" spans="2:6">
      <c r="B294" s="7"/>
      <c r="D294" s="110"/>
      <c r="E294" s="6"/>
      <c r="F294" s="6"/>
    </row>
    <row r="295" spans="2:6">
      <c r="B295" s="7"/>
      <c r="D295" s="110"/>
      <c r="E295" s="6"/>
      <c r="F295" s="6"/>
    </row>
    <row r="296" spans="2:6">
      <c r="B296" s="7"/>
      <c r="D296" s="110"/>
      <c r="E296" s="6"/>
      <c r="F296" s="6"/>
    </row>
    <row r="297" spans="2:6">
      <c r="B297" s="7"/>
      <c r="D297" s="110"/>
      <c r="E297" s="6"/>
      <c r="F297" s="6"/>
    </row>
    <row r="298" spans="2:6">
      <c r="B298" s="7"/>
      <c r="D298" s="110"/>
      <c r="E298" s="6"/>
      <c r="F298" s="6"/>
    </row>
    <row r="299" spans="2:6">
      <c r="B299" s="7"/>
      <c r="D299" s="110"/>
      <c r="E299" s="6"/>
      <c r="F299" s="6"/>
    </row>
    <row r="300" spans="2:6">
      <c r="B300" s="7"/>
      <c r="D300" s="110"/>
      <c r="E300" s="6"/>
      <c r="F300" s="6"/>
    </row>
    <row r="301" spans="2:6">
      <c r="B301" s="7"/>
      <c r="D301" s="110"/>
      <c r="E301" s="6"/>
      <c r="F301" s="6"/>
    </row>
    <row r="302" spans="2:6">
      <c r="B302" s="7"/>
      <c r="D302" s="110"/>
      <c r="E302" s="6"/>
      <c r="F302" s="6"/>
    </row>
    <row r="303" spans="2:6">
      <c r="B303" s="7"/>
      <c r="D303" s="110"/>
      <c r="E303" s="6"/>
      <c r="F303" s="6"/>
    </row>
    <row r="304" spans="2:6">
      <c r="B304" s="7"/>
      <c r="D304" s="110"/>
      <c r="E304" s="6"/>
      <c r="F304" s="6"/>
    </row>
    <row r="305" spans="2:6">
      <c r="B305" s="7"/>
      <c r="D305" s="110"/>
      <c r="E305" s="6"/>
      <c r="F305" s="6"/>
    </row>
    <row r="306" spans="2:6">
      <c r="B306" s="7"/>
      <c r="D306" s="110"/>
      <c r="E306" s="6"/>
      <c r="F306" s="6"/>
    </row>
    <row r="307" spans="2:6">
      <c r="B307" s="7"/>
      <c r="D307" s="110"/>
      <c r="E307" s="6"/>
      <c r="F307" s="6"/>
    </row>
    <row r="308" spans="2:6">
      <c r="B308" s="7"/>
      <c r="D308" s="110"/>
      <c r="E308" s="6"/>
      <c r="F308" s="6"/>
    </row>
    <row r="309" spans="2:6">
      <c r="B309" s="7"/>
      <c r="D309" s="110"/>
      <c r="E309" s="6"/>
      <c r="F309" s="6"/>
    </row>
    <row r="310" spans="2:6">
      <c r="B310" s="7"/>
      <c r="D310" s="110"/>
      <c r="E310" s="6"/>
      <c r="F310" s="6"/>
    </row>
    <row r="311" spans="2:6">
      <c r="B311" s="7"/>
      <c r="D311" s="110"/>
      <c r="E311" s="6"/>
      <c r="F311" s="6"/>
    </row>
    <row r="312" spans="2:6">
      <c r="B312" s="7"/>
      <c r="D312" s="110"/>
      <c r="E312" s="6"/>
      <c r="F312" s="6"/>
    </row>
    <row r="313" spans="2:6">
      <c r="B313" s="7"/>
      <c r="D313" s="110"/>
      <c r="E313" s="6"/>
      <c r="F313" s="6"/>
    </row>
    <row r="314" spans="2:6">
      <c r="B314" s="7"/>
    </row>
    <row r="315" spans="2:6">
      <c r="B315" s="8"/>
    </row>
    <row r="316" spans="2:6">
      <c r="B316" s="8"/>
    </row>
    <row r="317" spans="2:6">
      <c r="B317" s="8"/>
    </row>
    <row r="318" spans="2:6">
      <c r="B318" s="8"/>
    </row>
    <row r="319" spans="2:6">
      <c r="B319" s="8"/>
    </row>
    <row r="320" spans="2:6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  <row r="325" spans="2:2">
      <c r="B325" s="8"/>
    </row>
    <row r="326" spans="2:2">
      <c r="B326" s="8"/>
    </row>
    <row r="327" spans="2:2">
      <c r="B327" s="8"/>
    </row>
    <row r="328" spans="2:2">
      <c r="B328" s="8"/>
    </row>
    <row r="329" spans="2:2">
      <c r="B329" s="8"/>
    </row>
    <row r="330" spans="2:2">
      <c r="B330" s="8"/>
    </row>
    <row r="331" spans="2:2">
      <c r="B331" s="8"/>
    </row>
    <row r="332" spans="2:2">
      <c r="B332" s="8"/>
    </row>
    <row r="333" spans="2:2">
      <c r="B333" s="8"/>
    </row>
    <row r="334" spans="2:2">
      <c r="B334" s="8"/>
    </row>
    <row r="335" spans="2:2">
      <c r="B335" s="8"/>
    </row>
    <row r="336" spans="2:2">
      <c r="B336" s="8"/>
    </row>
    <row r="337" spans="2:2">
      <c r="B337" s="8"/>
    </row>
    <row r="338" spans="2:2">
      <c r="B338" s="8"/>
    </row>
    <row r="339" spans="2:2">
      <c r="B339" s="8"/>
    </row>
    <row r="340" spans="2:2">
      <c r="B340" s="8"/>
    </row>
    <row r="341" spans="2:2">
      <c r="B341" s="8"/>
    </row>
    <row r="342" spans="2:2">
      <c r="B342" s="8"/>
    </row>
    <row r="343" spans="2:2">
      <c r="B343" s="8"/>
    </row>
    <row r="344" spans="2:2">
      <c r="B344" s="8"/>
    </row>
    <row r="345" spans="2:2">
      <c r="B345" s="8"/>
    </row>
    <row r="346" spans="2:2">
      <c r="B346" s="8"/>
    </row>
    <row r="347" spans="2:2">
      <c r="B347" s="8"/>
    </row>
    <row r="348" spans="2:2">
      <c r="B348" s="8"/>
    </row>
    <row r="349" spans="2:2">
      <c r="B349" s="8"/>
    </row>
    <row r="350" spans="2:2">
      <c r="B350" s="8"/>
    </row>
    <row r="351" spans="2:2">
      <c r="B351" s="8"/>
    </row>
    <row r="352" spans="2:2">
      <c r="B352" s="8"/>
    </row>
    <row r="353" spans="2:2">
      <c r="B353" s="8"/>
    </row>
    <row r="354" spans="2:2">
      <c r="B354" s="8"/>
    </row>
    <row r="355" spans="2:2">
      <c r="B355" s="8"/>
    </row>
    <row r="356" spans="2:2">
      <c r="B356" s="8"/>
    </row>
    <row r="357" spans="2:2">
      <c r="B357" s="8"/>
    </row>
    <row r="358" spans="2:2">
      <c r="B358" s="8"/>
    </row>
    <row r="359" spans="2:2">
      <c r="B359" s="8"/>
    </row>
    <row r="360" spans="2:2">
      <c r="B360" s="8"/>
    </row>
    <row r="361" spans="2:2">
      <c r="B361" s="8"/>
    </row>
    <row r="362" spans="2:2">
      <c r="B362" s="8"/>
    </row>
    <row r="363" spans="2:2">
      <c r="B363" s="8"/>
    </row>
    <row r="364" spans="2:2">
      <c r="B364" s="8"/>
    </row>
    <row r="365" spans="2:2">
      <c r="B365" s="8"/>
    </row>
    <row r="366" spans="2:2">
      <c r="B366" s="8"/>
    </row>
    <row r="367" spans="2:2">
      <c r="B367" s="8"/>
    </row>
    <row r="368" spans="2:2">
      <c r="B368" s="8"/>
    </row>
    <row r="369" spans="2:2">
      <c r="B369" s="8"/>
    </row>
    <row r="370" spans="2:2">
      <c r="B370" s="8"/>
    </row>
    <row r="371" spans="2:2">
      <c r="B371" s="8"/>
    </row>
    <row r="372" spans="2:2">
      <c r="B372" s="8"/>
    </row>
    <row r="373" spans="2:2">
      <c r="B373" s="8"/>
    </row>
    <row r="374" spans="2:2">
      <c r="B374" s="8"/>
    </row>
    <row r="375" spans="2:2">
      <c r="B375" s="8"/>
    </row>
    <row r="376" spans="2:2">
      <c r="B376" s="8"/>
    </row>
    <row r="377" spans="2:2">
      <c r="B377" s="8"/>
    </row>
    <row r="378" spans="2:2">
      <c r="B378" s="8"/>
    </row>
    <row r="379" spans="2:2">
      <c r="B379" s="8"/>
    </row>
    <row r="380" spans="2:2">
      <c r="B380" s="8"/>
    </row>
    <row r="381" spans="2:2">
      <c r="B381" s="8"/>
    </row>
    <row r="382" spans="2:2">
      <c r="B382" s="8"/>
    </row>
    <row r="383" spans="2:2">
      <c r="B383" s="8"/>
    </row>
    <row r="384" spans="2:2">
      <c r="B384" s="8"/>
    </row>
    <row r="385" spans="2:2">
      <c r="B385" s="8"/>
    </row>
    <row r="386" spans="2:2">
      <c r="B386" s="8"/>
    </row>
    <row r="387" spans="2:2">
      <c r="B387" s="8"/>
    </row>
    <row r="388" spans="2:2">
      <c r="B388" s="8"/>
    </row>
    <row r="389" spans="2:2">
      <c r="B389" s="8"/>
    </row>
    <row r="390" spans="2:2">
      <c r="B390" s="8"/>
    </row>
    <row r="391" spans="2:2">
      <c r="B391" s="8"/>
    </row>
    <row r="392" spans="2:2">
      <c r="B392" s="8"/>
    </row>
    <row r="393" spans="2:2">
      <c r="B393" s="8"/>
    </row>
    <row r="394" spans="2:2">
      <c r="B394" s="8"/>
    </row>
    <row r="395" spans="2:2">
      <c r="B395" s="8"/>
    </row>
    <row r="396" spans="2:2">
      <c r="B396" s="8"/>
    </row>
    <row r="397" spans="2:2">
      <c r="B397" s="8"/>
    </row>
    <row r="398" spans="2:2">
      <c r="B398" s="8"/>
    </row>
    <row r="399" spans="2:2">
      <c r="B399" s="8"/>
    </row>
    <row r="400" spans="2:2">
      <c r="B400" s="8"/>
    </row>
    <row r="401" spans="2:2">
      <c r="B401" s="8"/>
    </row>
    <row r="402" spans="2:2">
      <c r="B402" s="8"/>
    </row>
    <row r="403" spans="2:2">
      <c r="B403" s="8"/>
    </row>
    <row r="404" spans="2:2">
      <c r="B404" s="8"/>
    </row>
    <row r="405" spans="2:2">
      <c r="B405" s="8"/>
    </row>
    <row r="406" spans="2:2">
      <c r="B406" s="8"/>
    </row>
    <row r="407" spans="2:2">
      <c r="B407" s="8"/>
    </row>
    <row r="408" spans="2:2">
      <c r="B408" s="8"/>
    </row>
    <row r="409" spans="2:2">
      <c r="B409" s="8"/>
    </row>
    <row r="410" spans="2:2">
      <c r="B410" s="8"/>
    </row>
    <row r="411" spans="2:2">
      <c r="B411" s="8"/>
    </row>
    <row r="412" spans="2:2">
      <c r="B412" s="8"/>
    </row>
    <row r="413" spans="2:2">
      <c r="B413" s="8"/>
    </row>
    <row r="414" spans="2:2">
      <c r="B414" s="8"/>
    </row>
    <row r="415" spans="2:2">
      <c r="B415" s="8"/>
    </row>
    <row r="416" spans="2:2">
      <c r="B416" s="8"/>
    </row>
    <row r="417" spans="2:2">
      <c r="B417" s="8"/>
    </row>
    <row r="418" spans="2:2">
      <c r="B418" s="8"/>
    </row>
    <row r="419" spans="2:2">
      <c r="B419" s="8"/>
    </row>
    <row r="420" spans="2:2">
      <c r="B420" s="8"/>
    </row>
    <row r="421" spans="2:2">
      <c r="B421" s="8"/>
    </row>
    <row r="422" spans="2:2">
      <c r="B422" s="8"/>
    </row>
    <row r="423" spans="2:2">
      <c r="B423" s="8"/>
    </row>
    <row r="424" spans="2:2">
      <c r="B424" s="8"/>
    </row>
    <row r="425" spans="2:2">
      <c r="B425" s="8"/>
    </row>
    <row r="426" spans="2:2">
      <c r="B426" s="8"/>
    </row>
    <row r="427" spans="2:2">
      <c r="B427" s="8"/>
    </row>
    <row r="428" spans="2:2">
      <c r="B428" s="8"/>
    </row>
    <row r="429" spans="2:2">
      <c r="B429" s="8"/>
    </row>
    <row r="430" spans="2:2">
      <c r="B430" s="8"/>
    </row>
    <row r="431" spans="2:2">
      <c r="B431" s="8"/>
    </row>
    <row r="432" spans="2:2">
      <c r="B432" s="8"/>
    </row>
    <row r="433" spans="2:2">
      <c r="B433" s="8"/>
    </row>
    <row r="434" spans="2:2">
      <c r="B434" s="8"/>
    </row>
    <row r="435" spans="2:2">
      <c r="B435" s="8"/>
    </row>
    <row r="436" spans="2:2">
      <c r="B436" s="8"/>
    </row>
    <row r="437" spans="2:2">
      <c r="B437" s="8"/>
    </row>
    <row r="438" spans="2:2">
      <c r="B438" s="8"/>
    </row>
    <row r="439" spans="2:2">
      <c r="B439" s="8"/>
    </row>
    <row r="440" spans="2:2">
      <c r="B440" s="8"/>
    </row>
    <row r="441" spans="2:2">
      <c r="B441" s="8"/>
    </row>
    <row r="442" spans="2:2">
      <c r="B442" s="8"/>
    </row>
    <row r="443" spans="2:2">
      <c r="B443" s="8"/>
    </row>
    <row r="444" spans="2:2">
      <c r="B444" s="8"/>
    </row>
    <row r="445" spans="2:2">
      <c r="B445" s="8"/>
    </row>
    <row r="446" spans="2:2">
      <c r="B446" s="8"/>
    </row>
    <row r="447" spans="2:2">
      <c r="B447" s="8"/>
    </row>
    <row r="448" spans="2:2">
      <c r="B448" s="8"/>
    </row>
    <row r="449" spans="2:2">
      <c r="B449" s="8"/>
    </row>
    <row r="450" spans="2:2">
      <c r="B450" s="8"/>
    </row>
    <row r="451" spans="2:2">
      <c r="B451" s="8"/>
    </row>
    <row r="452" spans="2:2">
      <c r="B452" s="8"/>
    </row>
    <row r="453" spans="2:2">
      <c r="B453" s="8"/>
    </row>
    <row r="454" spans="2:2">
      <c r="B454" s="8"/>
    </row>
    <row r="455" spans="2:2">
      <c r="B455" s="8"/>
    </row>
    <row r="456" spans="2:2">
      <c r="B456" s="8"/>
    </row>
    <row r="457" spans="2:2">
      <c r="B457" s="8"/>
    </row>
    <row r="458" spans="2:2">
      <c r="B458" s="8"/>
    </row>
    <row r="459" spans="2:2">
      <c r="B459" s="8"/>
    </row>
    <row r="460" spans="2:2">
      <c r="B460" s="8"/>
    </row>
    <row r="461" spans="2:2">
      <c r="B461" s="8"/>
    </row>
    <row r="462" spans="2:2">
      <c r="B462" s="8"/>
    </row>
    <row r="463" spans="2:2">
      <c r="B463" s="8"/>
    </row>
    <row r="464" spans="2:2">
      <c r="B464" s="8"/>
    </row>
    <row r="465" spans="2:2">
      <c r="B465" s="8"/>
    </row>
    <row r="466" spans="2:2">
      <c r="B466" s="8"/>
    </row>
    <row r="467" spans="2:2">
      <c r="B467" s="8"/>
    </row>
    <row r="468" spans="2:2">
      <c r="B468" s="8"/>
    </row>
    <row r="469" spans="2:2">
      <c r="B469" s="8"/>
    </row>
    <row r="470" spans="2:2">
      <c r="B470" s="8"/>
    </row>
    <row r="471" spans="2:2">
      <c r="B471" s="8"/>
    </row>
    <row r="472" spans="2:2">
      <c r="B472" s="8"/>
    </row>
    <row r="473" spans="2:2">
      <c r="B473" s="8"/>
    </row>
    <row r="474" spans="2:2">
      <c r="B474" s="8"/>
    </row>
    <row r="475" spans="2:2">
      <c r="B475" s="8"/>
    </row>
    <row r="476" spans="2:2">
      <c r="B476" s="8"/>
    </row>
    <row r="477" spans="2:2">
      <c r="B477" s="8"/>
    </row>
    <row r="478" spans="2:2">
      <c r="B478" s="8"/>
    </row>
    <row r="479" spans="2:2">
      <c r="B479" s="8"/>
    </row>
    <row r="480" spans="2:2">
      <c r="B480" s="8"/>
    </row>
    <row r="481" spans="2:2">
      <c r="B481" s="8"/>
    </row>
  </sheetData>
  <mergeCells count="6">
    <mergeCell ref="D258:E258"/>
    <mergeCell ref="D259:E259"/>
    <mergeCell ref="B2:H2"/>
    <mergeCell ref="A6:B6"/>
    <mergeCell ref="F258:H258"/>
    <mergeCell ref="F259:H259"/>
  </mergeCells>
  <pageMargins left="0.39370078740157483" right="0.39370078740157483" top="0.78740157480314965" bottom="0.39370078740157483" header="0.31496062992125984" footer="0.31496062992125984"/>
  <pageSetup paperSize="9" scale="64" fitToHeight="11" orientation="landscape" r:id="rId1"/>
  <rowBreaks count="2" manualBreakCount="2">
    <brk id="52" max="7" man="1"/>
    <brk id="137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410"/>
  <sheetViews>
    <sheetView view="pageBreakPreview" topLeftCell="A184" zoomScale="90" zoomScaleSheetLayoutView="90" workbookViewId="0">
      <selection activeCell="G194" sqref="G194"/>
    </sheetView>
  </sheetViews>
  <sheetFormatPr defaultRowHeight="18.75"/>
  <cols>
    <col min="1" max="1" width="60.28515625" style="2" customWidth="1"/>
    <col min="2" max="2" width="13.140625" style="173" customWidth="1"/>
    <col min="3" max="3" width="16.140625" style="173" customWidth="1"/>
    <col min="4" max="4" width="16.7109375" style="173" customWidth="1"/>
    <col min="5" max="5" width="16.140625" style="173" customWidth="1"/>
    <col min="6" max="6" width="16" style="173" customWidth="1"/>
    <col min="7" max="7" width="16.42578125" style="114" customWidth="1"/>
    <col min="8" max="8" width="44.7109375" style="2" customWidth="1"/>
    <col min="9" max="9" width="21.140625" style="2" customWidth="1"/>
    <col min="10" max="16384" width="9.140625" style="2"/>
  </cols>
  <sheetData>
    <row r="1" spans="1:8" s="111" customFormat="1" ht="27.75" customHeight="1">
      <c r="A1" s="242" t="s">
        <v>103</v>
      </c>
      <c r="B1" s="242"/>
      <c r="C1" s="242"/>
      <c r="D1" s="242"/>
      <c r="E1" s="242"/>
      <c r="F1" s="242"/>
      <c r="G1" s="112"/>
    </row>
    <row r="2" spans="1:8" ht="19.5" customHeight="1">
      <c r="A2" s="176"/>
      <c r="B2" s="171" t="s">
        <v>288</v>
      </c>
      <c r="C2" s="176"/>
      <c r="D2" s="176"/>
      <c r="E2" s="176"/>
      <c r="F2" s="3"/>
      <c r="G2" s="113" t="s">
        <v>65</v>
      </c>
    </row>
    <row r="3" spans="1:8" ht="64.5" customHeight="1">
      <c r="A3" s="4" t="s">
        <v>23</v>
      </c>
      <c r="B3" s="12" t="s">
        <v>5</v>
      </c>
      <c r="C3" s="12" t="s">
        <v>357</v>
      </c>
      <c r="D3" s="12" t="s">
        <v>358</v>
      </c>
      <c r="E3" s="12" t="s">
        <v>359</v>
      </c>
      <c r="F3" s="108" t="s">
        <v>113</v>
      </c>
      <c r="G3" s="45" t="s">
        <v>114</v>
      </c>
    </row>
    <row r="4" spans="1:8" ht="24.75" customHeight="1">
      <c r="A4" s="4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16">
        <v>7</v>
      </c>
    </row>
    <row r="5" spans="1:8" ht="44.25" customHeight="1">
      <c r="A5" s="172" t="s">
        <v>13</v>
      </c>
      <c r="B5" s="175">
        <v>4000</v>
      </c>
      <c r="C5" s="14">
        <f>C6+C57+C182</f>
        <v>10186.399999999998</v>
      </c>
      <c r="D5" s="14">
        <f>D6+D57+D182+D179</f>
        <v>4499.2</v>
      </c>
      <c r="E5" s="14">
        <f>E6+E57+E182+E179</f>
        <v>24676.899999999998</v>
      </c>
      <c r="F5" s="14">
        <f>E5-D5</f>
        <v>20177.699999999997</v>
      </c>
      <c r="G5" s="179">
        <f>(E5/D5)*100</f>
        <v>548.47306187766719</v>
      </c>
      <c r="H5" s="20"/>
    </row>
    <row r="6" spans="1:8" ht="27.75" customHeight="1">
      <c r="A6" s="74" t="s">
        <v>0</v>
      </c>
      <c r="B6" s="70">
        <v>4020</v>
      </c>
      <c r="C6" s="42">
        <f>SUM(C7:C56)</f>
        <v>8250.7999999999993</v>
      </c>
      <c r="D6" s="42">
        <f>SUM(D7:D56)</f>
        <v>1910</v>
      </c>
      <c r="E6" s="42">
        <f t="shared" ref="E6" si="0">SUM(E7:E56)</f>
        <v>8133.7999999999975</v>
      </c>
      <c r="F6" s="14">
        <f>E6-D6</f>
        <v>6223.7999999999975</v>
      </c>
      <c r="G6" s="169">
        <f>(E6/D6)*100</f>
        <v>425.85340314136113</v>
      </c>
    </row>
    <row r="7" spans="1:8" ht="27.75" customHeight="1">
      <c r="A7" s="181" t="s">
        <v>278</v>
      </c>
      <c r="B7" s="12"/>
      <c r="C7" s="18">
        <v>40</v>
      </c>
      <c r="D7" s="18"/>
      <c r="E7" s="18"/>
      <c r="F7" s="18">
        <f t="shared" ref="F7" si="1">E7-D7</f>
        <v>0</v>
      </c>
      <c r="G7" s="169"/>
    </row>
    <row r="8" spans="1:8" ht="27.75" customHeight="1">
      <c r="A8" s="181" t="s">
        <v>279</v>
      </c>
      <c r="B8" s="70"/>
      <c r="C8" s="50">
        <v>30.5</v>
      </c>
      <c r="D8" s="42"/>
      <c r="E8" s="42"/>
      <c r="F8" s="18">
        <f t="shared" ref="F8:F74" si="2">E8-D8</f>
        <v>0</v>
      </c>
      <c r="G8" s="169"/>
    </row>
    <row r="9" spans="1:8" ht="40.5" customHeight="1">
      <c r="A9" s="180" t="s">
        <v>280</v>
      </c>
      <c r="B9" s="70"/>
      <c r="C9" s="18">
        <v>258.5</v>
      </c>
      <c r="D9" s="42"/>
      <c r="E9" s="42"/>
      <c r="F9" s="18">
        <f t="shared" si="2"/>
        <v>0</v>
      </c>
      <c r="G9" s="169"/>
    </row>
    <row r="10" spans="1:8" ht="21.75" customHeight="1">
      <c r="A10" s="180" t="s">
        <v>281</v>
      </c>
      <c r="B10" s="70"/>
      <c r="C10" s="18">
        <v>42.1</v>
      </c>
      <c r="D10" s="42"/>
      <c r="E10" s="42"/>
      <c r="F10" s="18">
        <f t="shared" si="2"/>
        <v>0</v>
      </c>
      <c r="G10" s="169"/>
    </row>
    <row r="11" spans="1:8" ht="41.25" customHeight="1">
      <c r="A11" s="180" t="s">
        <v>282</v>
      </c>
      <c r="B11" s="70"/>
      <c r="C11" s="18">
        <v>191.8</v>
      </c>
      <c r="D11" s="42"/>
      <c r="E11" s="42"/>
      <c r="F11" s="18">
        <f t="shared" si="2"/>
        <v>0</v>
      </c>
      <c r="G11" s="169"/>
    </row>
    <row r="12" spans="1:8" ht="27" customHeight="1">
      <c r="A12" s="180" t="s">
        <v>283</v>
      </c>
      <c r="B12" s="70"/>
      <c r="C12" s="18">
        <v>240</v>
      </c>
      <c r="D12" s="42"/>
      <c r="E12" s="42"/>
      <c r="F12" s="18">
        <f t="shared" si="2"/>
        <v>0</v>
      </c>
      <c r="G12" s="169"/>
    </row>
    <row r="13" spans="1:8" ht="25.5" customHeight="1">
      <c r="A13" s="180" t="s">
        <v>284</v>
      </c>
      <c r="B13" s="109"/>
      <c r="C13" s="18">
        <v>25.6</v>
      </c>
      <c r="D13" s="42"/>
      <c r="E13" s="18"/>
      <c r="F13" s="18">
        <f t="shared" si="2"/>
        <v>0</v>
      </c>
      <c r="G13" s="169"/>
    </row>
    <row r="14" spans="1:8" ht="27.75" customHeight="1">
      <c r="A14" s="180" t="s">
        <v>285</v>
      </c>
      <c r="B14" s="109"/>
      <c r="C14" s="18">
        <v>385.2</v>
      </c>
      <c r="D14" s="42"/>
      <c r="E14" s="18"/>
      <c r="F14" s="18">
        <f t="shared" si="2"/>
        <v>0</v>
      </c>
      <c r="G14" s="169"/>
    </row>
    <row r="15" spans="1:8" ht="30.75" customHeight="1">
      <c r="A15" s="180" t="s">
        <v>286</v>
      </c>
      <c r="B15" s="109"/>
      <c r="C15" s="18">
        <v>237.7</v>
      </c>
      <c r="D15" s="42"/>
      <c r="E15" s="18"/>
      <c r="F15" s="18">
        <f t="shared" si="2"/>
        <v>0</v>
      </c>
      <c r="G15" s="169"/>
    </row>
    <row r="16" spans="1:8" ht="39.75" customHeight="1">
      <c r="A16" s="180" t="s">
        <v>287</v>
      </c>
      <c r="B16" s="109"/>
      <c r="C16" s="18">
        <v>593.4</v>
      </c>
      <c r="D16" s="42"/>
      <c r="E16" s="18"/>
      <c r="F16" s="18">
        <f t="shared" si="2"/>
        <v>0</v>
      </c>
      <c r="G16" s="169"/>
    </row>
    <row r="17" spans="1:7" ht="56.25" customHeight="1">
      <c r="A17" s="180" t="s">
        <v>372</v>
      </c>
      <c r="B17" s="109"/>
      <c r="C17" s="18">
        <v>217</v>
      </c>
      <c r="D17" s="42"/>
      <c r="E17" s="18"/>
      <c r="F17" s="18">
        <f t="shared" si="2"/>
        <v>0</v>
      </c>
      <c r="G17" s="169"/>
    </row>
    <row r="18" spans="1:7" ht="40.5" customHeight="1">
      <c r="A18" s="180" t="s">
        <v>373</v>
      </c>
      <c r="B18" s="109"/>
      <c r="C18" s="18">
        <v>340</v>
      </c>
      <c r="D18" s="42"/>
      <c r="E18" s="18"/>
      <c r="F18" s="18">
        <f t="shared" si="2"/>
        <v>0</v>
      </c>
      <c r="G18" s="169"/>
    </row>
    <row r="19" spans="1:7" ht="39.75" customHeight="1">
      <c r="A19" s="180" t="s">
        <v>374</v>
      </c>
      <c r="B19" s="109"/>
      <c r="C19" s="18">
        <v>116.8</v>
      </c>
      <c r="D19" s="42"/>
      <c r="E19" s="18"/>
      <c r="F19" s="18">
        <f t="shared" si="2"/>
        <v>0</v>
      </c>
      <c r="G19" s="169"/>
    </row>
    <row r="20" spans="1:7" ht="24.75" customHeight="1">
      <c r="A20" s="180" t="s">
        <v>375</v>
      </c>
      <c r="B20" s="109"/>
      <c r="C20" s="18">
        <v>344.2</v>
      </c>
      <c r="D20" s="42"/>
      <c r="E20" s="18"/>
      <c r="F20" s="18">
        <f t="shared" si="2"/>
        <v>0</v>
      </c>
      <c r="G20" s="169"/>
    </row>
    <row r="21" spans="1:7" ht="40.5" customHeight="1">
      <c r="A21" s="180" t="s">
        <v>376</v>
      </c>
      <c r="B21" s="109"/>
      <c r="C21" s="18">
        <v>5148</v>
      </c>
      <c r="D21" s="42"/>
      <c r="E21" s="18"/>
      <c r="F21" s="18">
        <f t="shared" si="2"/>
        <v>0</v>
      </c>
      <c r="G21" s="169"/>
    </row>
    <row r="22" spans="1:7" ht="25.5" customHeight="1">
      <c r="A22" s="180" t="s">
        <v>377</v>
      </c>
      <c r="B22" s="109"/>
      <c r="C22" s="18">
        <v>40</v>
      </c>
      <c r="D22" s="42"/>
      <c r="E22" s="18"/>
      <c r="F22" s="18">
        <f t="shared" si="2"/>
        <v>0</v>
      </c>
      <c r="G22" s="169"/>
    </row>
    <row r="23" spans="1:7" ht="25.5" customHeight="1">
      <c r="A23" s="180" t="s">
        <v>495</v>
      </c>
      <c r="B23" s="109"/>
      <c r="C23" s="18"/>
      <c r="D23" s="18">
        <v>93.8</v>
      </c>
      <c r="E23" s="18"/>
      <c r="F23" s="18"/>
      <c r="G23" s="169"/>
    </row>
    <row r="24" spans="1:7" ht="25.5" customHeight="1">
      <c r="A24" s="180" t="s">
        <v>496</v>
      </c>
      <c r="B24" s="109"/>
      <c r="C24" s="18"/>
      <c r="D24" s="18">
        <v>75</v>
      </c>
      <c r="E24" s="18"/>
      <c r="F24" s="18"/>
      <c r="G24" s="169"/>
    </row>
    <row r="25" spans="1:7" ht="25.5" customHeight="1">
      <c r="A25" s="180" t="s">
        <v>497</v>
      </c>
      <c r="B25" s="109"/>
      <c r="C25" s="18"/>
      <c r="D25" s="18">
        <v>41.2</v>
      </c>
      <c r="E25" s="18"/>
      <c r="F25" s="18"/>
      <c r="G25" s="169"/>
    </row>
    <row r="26" spans="1:7" ht="24" customHeight="1">
      <c r="A26" s="180" t="s">
        <v>425</v>
      </c>
      <c r="B26" s="109"/>
      <c r="C26" s="18"/>
      <c r="D26" s="18">
        <v>1700</v>
      </c>
      <c r="E26" s="18"/>
      <c r="F26" s="18">
        <f t="shared" si="2"/>
        <v>-1700</v>
      </c>
      <c r="G26" s="169"/>
    </row>
    <row r="27" spans="1:7" ht="40.5" customHeight="1">
      <c r="A27" s="180" t="s">
        <v>320</v>
      </c>
      <c r="B27" s="109"/>
      <c r="C27" s="18"/>
      <c r="D27" s="18"/>
      <c r="E27" s="18">
        <v>29.9</v>
      </c>
      <c r="F27" s="18">
        <f t="shared" si="2"/>
        <v>29.9</v>
      </c>
      <c r="G27" s="169"/>
    </row>
    <row r="28" spans="1:7" ht="23.25" customHeight="1">
      <c r="A28" s="180" t="s">
        <v>321</v>
      </c>
      <c r="B28" s="109"/>
      <c r="C28" s="18"/>
      <c r="D28" s="18"/>
      <c r="E28" s="18">
        <v>195</v>
      </c>
      <c r="F28" s="18">
        <f t="shared" si="2"/>
        <v>195</v>
      </c>
      <c r="G28" s="169"/>
    </row>
    <row r="29" spans="1:7" ht="43.5" customHeight="1">
      <c r="A29" s="180" t="s">
        <v>446</v>
      </c>
      <c r="B29" s="109"/>
      <c r="C29" s="18"/>
      <c r="D29" s="18"/>
      <c r="E29" s="18">
        <v>250.5</v>
      </c>
      <c r="F29" s="18">
        <f t="shared" si="2"/>
        <v>250.5</v>
      </c>
      <c r="G29" s="169"/>
    </row>
    <row r="30" spans="1:7" ht="30" customHeight="1">
      <c r="A30" s="180" t="s">
        <v>322</v>
      </c>
      <c r="B30" s="109"/>
      <c r="C30" s="18"/>
      <c r="D30" s="18"/>
      <c r="E30" s="18">
        <v>42.1</v>
      </c>
      <c r="F30" s="18">
        <f t="shared" si="2"/>
        <v>42.1</v>
      </c>
      <c r="G30" s="169"/>
    </row>
    <row r="31" spans="1:7" ht="21.75" customHeight="1">
      <c r="A31" s="180" t="s">
        <v>323</v>
      </c>
      <c r="B31" s="109"/>
      <c r="C31" s="18"/>
      <c r="D31" s="18"/>
      <c r="E31" s="18">
        <v>32.9</v>
      </c>
      <c r="F31" s="18">
        <f t="shared" si="2"/>
        <v>32.9</v>
      </c>
      <c r="G31" s="169"/>
    </row>
    <row r="32" spans="1:7" ht="24.75" customHeight="1">
      <c r="A32" s="180" t="s">
        <v>324</v>
      </c>
      <c r="B32" s="109"/>
      <c r="C32" s="18"/>
      <c r="D32" s="18"/>
      <c r="E32" s="18">
        <v>48.7</v>
      </c>
      <c r="F32" s="18">
        <f t="shared" si="2"/>
        <v>48.7</v>
      </c>
      <c r="G32" s="169"/>
    </row>
    <row r="33" spans="1:9" ht="58.5" customHeight="1">
      <c r="A33" s="180" t="s">
        <v>325</v>
      </c>
      <c r="B33" s="109"/>
      <c r="C33" s="18"/>
      <c r="D33" s="18"/>
      <c r="E33" s="18">
        <v>1621.6</v>
      </c>
      <c r="F33" s="18">
        <f t="shared" si="2"/>
        <v>1621.6</v>
      </c>
      <c r="G33" s="169"/>
    </row>
    <row r="34" spans="1:9" ht="78.75" customHeight="1">
      <c r="A34" s="180" t="s">
        <v>326</v>
      </c>
      <c r="B34" s="109"/>
      <c r="C34" s="18"/>
      <c r="D34" s="18"/>
      <c r="E34" s="18">
        <v>1666</v>
      </c>
      <c r="F34" s="18">
        <f t="shared" si="2"/>
        <v>1666</v>
      </c>
      <c r="G34" s="169"/>
    </row>
    <row r="35" spans="1:9" ht="46.5" customHeight="1">
      <c r="A35" s="180" t="s">
        <v>327</v>
      </c>
      <c r="B35" s="109"/>
      <c r="C35" s="18"/>
      <c r="D35" s="18"/>
      <c r="E35" s="18">
        <v>331</v>
      </c>
      <c r="F35" s="18">
        <f t="shared" si="2"/>
        <v>331</v>
      </c>
      <c r="G35" s="169"/>
    </row>
    <row r="36" spans="1:9" ht="42" customHeight="1">
      <c r="A36" s="180" t="s">
        <v>328</v>
      </c>
      <c r="B36" s="109"/>
      <c r="C36" s="18"/>
      <c r="D36" s="18"/>
      <c r="E36" s="18">
        <v>49.1</v>
      </c>
      <c r="F36" s="18">
        <f t="shared" si="2"/>
        <v>49.1</v>
      </c>
      <c r="G36" s="169"/>
    </row>
    <row r="37" spans="1:9" ht="24" customHeight="1">
      <c r="A37" s="180" t="s">
        <v>329</v>
      </c>
      <c r="B37" s="109"/>
      <c r="C37" s="18"/>
      <c r="D37" s="18"/>
      <c r="E37" s="18">
        <v>56.4</v>
      </c>
      <c r="F37" s="18">
        <f t="shared" si="2"/>
        <v>56.4</v>
      </c>
      <c r="G37" s="169"/>
    </row>
    <row r="38" spans="1:9" ht="24" customHeight="1">
      <c r="A38" s="180" t="s">
        <v>330</v>
      </c>
      <c r="B38" s="109"/>
      <c r="C38" s="18"/>
      <c r="D38" s="18"/>
      <c r="E38" s="18">
        <v>75</v>
      </c>
      <c r="F38" s="18">
        <f t="shared" si="2"/>
        <v>75</v>
      </c>
      <c r="G38" s="169"/>
    </row>
    <row r="39" spans="1:9" ht="27" customHeight="1">
      <c r="A39" s="180" t="s">
        <v>331</v>
      </c>
      <c r="B39" s="109"/>
      <c r="C39" s="18"/>
      <c r="D39" s="42"/>
      <c r="E39" s="18">
        <v>41.2</v>
      </c>
      <c r="F39" s="18">
        <f t="shared" si="2"/>
        <v>41.2</v>
      </c>
      <c r="G39" s="169"/>
    </row>
    <row r="40" spans="1:9" ht="27.75" customHeight="1">
      <c r="A40" s="180" t="s">
        <v>332</v>
      </c>
      <c r="B40" s="109"/>
      <c r="C40" s="18"/>
      <c r="D40" s="42"/>
      <c r="E40" s="18">
        <v>1700</v>
      </c>
      <c r="F40" s="18">
        <f t="shared" si="2"/>
        <v>1700</v>
      </c>
      <c r="G40" s="169"/>
    </row>
    <row r="41" spans="1:9" ht="43.5" customHeight="1">
      <c r="A41" s="180" t="s">
        <v>459</v>
      </c>
      <c r="B41" s="109"/>
      <c r="C41" s="18"/>
      <c r="D41" s="42"/>
      <c r="E41" s="18">
        <v>35.4</v>
      </c>
      <c r="F41" s="18">
        <f t="shared" si="2"/>
        <v>35.4</v>
      </c>
      <c r="G41" s="169"/>
    </row>
    <row r="42" spans="1:9" ht="27.75" customHeight="1">
      <c r="A42" s="180" t="s">
        <v>333</v>
      </c>
      <c r="B42" s="109"/>
      <c r="C42" s="18"/>
      <c r="D42" s="42"/>
      <c r="E42" s="18">
        <v>780</v>
      </c>
      <c r="F42" s="18">
        <f t="shared" si="2"/>
        <v>780</v>
      </c>
      <c r="G42" s="169"/>
    </row>
    <row r="43" spans="1:9" ht="25.5" customHeight="1">
      <c r="A43" s="180" t="s">
        <v>334</v>
      </c>
      <c r="B43" s="109"/>
      <c r="C43" s="18"/>
      <c r="D43" s="42"/>
      <c r="E43" s="18">
        <v>34.4</v>
      </c>
      <c r="F43" s="18">
        <f t="shared" si="2"/>
        <v>34.4</v>
      </c>
      <c r="G43" s="169"/>
    </row>
    <row r="44" spans="1:9" ht="39" customHeight="1">
      <c r="A44" s="180" t="s">
        <v>335</v>
      </c>
      <c r="B44" s="109"/>
      <c r="C44" s="18"/>
      <c r="D44" s="42"/>
      <c r="E44" s="18">
        <v>44.9</v>
      </c>
      <c r="F44" s="18">
        <f t="shared" si="2"/>
        <v>44.9</v>
      </c>
      <c r="G44" s="169"/>
    </row>
    <row r="45" spans="1:9" ht="29.25" customHeight="1">
      <c r="A45" s="180" t="s">
        <v>447</v>
      </c>
      <c r="B45" s="109"/>
      <c r="C45" s="18"/>
      <c r="D45" s="42"/>
      <c r="E45" s="18">
        <v>20.399999999999999</v>
      </c>
      <c r="F45" s="18">
        <f t="shared" si="2"/>
        <v>20.399999999999999</v>
      </c>
      <c r="G45" s="169"/>
    </row>
    <row r="46" spans="1:9" ht="26.25" customHeight="1">
      <c r="A46" s="180" t="s">
        <v>448</v>
      </c>
      <c r="B46" s="109"/>
      <c r="C46" s="18"/>
      <c r="D46" s="42"/>
      <c r="E46" s="18">
        <v>23.5</v>
      </c>
      <c r="F46" s="18">
        <f t="shared" si="2"/>
        <v>23.5</v>
      </c>
      <c r="G46" s="216"/>
    </row>
    <row r="47" spans="1:9" ht="27" customHeight="1">
      <c r="A47" s="180" t="s">
        <v>449</v>
      </c>
      <c r="B47" s="109"/>
      <c r="C47" s="18"/>
      <c r="D47" s="42"/>
      <c r="E47" s="18">
        <v>78.8</v>
      </c>
      <c r="F47" s="18">
        <f t="shared" si="2"/>
        <v>78.8</v>
      </c>
      <c r="G47" s="216"/>
    </row>
    <row r="48" spans="1:9" ht="25.5" customHeight="1">
      <c r="A48" s="180" t="s">
        <v>450</v>
      </c>
      <c r="B48" s="109"/>
      <c r="C48" s="18"/>
      <c r="D48" s="42"/>
      <c r="E48" s="18">
        <v>33.5</v>
      </c>
      <c r="F48" s="18">
        <f t="shared" si="2"/>
        <v>33.5</v>
      </c>
      <c r="G48" s="216"/>
      <c r="H48" s="217"/>
      <c r="I48" s="32"/>
    </row>
    <row r="49" spans="1:9" ht="27.75" customHeight="1">
      <c r="A49" s="180" t="s">
        <v>451</v>
      </c>
      <c r="B49" s="109"/>
      <c r="C49" s="18"/>
      <c r="D49" s="42"/>
      <c r="E49" s="18">
        <v>165.2</v>
      </c>
      <c r="F49" s="18">
        <f t="shared" si="2"/>
        <v>165.2</v>
      </c>
      <c r="G49" s="216"/>
      <c r="H49" s="217"/>
      <c r="I49" s="32"/>
    </row>
    <row r="50" spans="1:9" ht="37.5" customHeight="1">
      <c r="A50" s="180" t="s">
        <v>452</v>
      </c>
      <c r="B50" s="109"/>
      <c r="C50" s="18"/>
      <c r="D50" s="42"/>
      <c r="E50" s="18">
        <v>93.8</v>
      </c>
      <c r="F50" s="18">
        <f t="shared" si="2"/>
        <v>93.8</v>
      </c>
      <c r="G50" s="216"/>
    </row>
    <row r="51" spans="1:9" ht="56.25" customHeight="1">
      <c r="A51" s="180" t="s">
        <v>453</v>
      </c>
      <c r="B51" s="109"/>
      <c r="C51" s="18"/>
      <c r="D51" s="42"/>
      <c r="E51" s="18">
        <v>346</v>
      </c>
      <c r="F51" s="18">
        <f t="shared" si="2"/>
        <v>346</v>
      </c>
      <c r="G51" s="169"/>
    </row>
    <row r="52" spans="1:9" ht="28.5" customHeight="1">
      <c r="A52" s="180" t="s">
        <v>454</v>
      </c>
      <c r="B52" s="109"/>
      <c r="C52" s="18"/>
      <c r="D52" s="42"/>
      <c r="E52" s="18">
        <v>36.4</v>
      </c>
      <c r="F52" s="18">
        <f t="shared" si="2"/>
        <v>36.4</v>
      </c>
      <c r="G52" s="169"/>
    </row>
    <row r="53" spans="1:9" ht="28.5" customHeight="1">
      <c r="A53" s="180" t="s">
        <v>455</v>
      </c>
      <c r="B53" s="109"/>
      <c r="C53" s="18"/>
      <c r="D53" s="42"/>
      <c r="E53" s="18">
        <v>129.6</v>
      </c>
      <c r="F53" s="18">
        <f t="shared" si="2"/>
        <v>129.6</v>
      </c>
      <c r="G53" s="169"/>
    </row>
    <row r="54" spans="1:9" ht="26.25" customHeight="1">
      <c r="A54" s="180" t="s">
        <v>456</v>
      </c>
      <c r="B54" s="109"/>
      <c r="C54" s="18"/>
      <c r="D54" s="42"/>
      <c r="E54" s="18">
        <v>47.7</v>
      </c>
      <c r="F54" s="18">
        <f t="shared" si="2"/>
        <v>47.7</v>
      </c>
      <c r="G54" s="169"/>
    </row>
    <row r="55" spans="1:9" ht="25.5" customHeight="1">
      <c r="A55" s="180" t="s">
        <v>457</v>
      </c>
      <c r="B55" s="109"/>
      <c r="C55" s="18"/>
      <c r="D55" s="42"/>
      <c r="E55" s="18">
        <v>69.900000000000006</v>
      </c>
      <c r="F55" s="18">
        <f t="shared" si="2"/>
        <v>69.900000000000006</v>
      </c>
      <c r="G55" s="169"/>
    </row>
    <row r="56" spans="1:9" ht="27" customHeight="1">
      <c r="A56" s="180" t="s">
        <v>458</v>
      </c>
      <c r="B56" s="109"/>
      <c r="C56" s="18"/>
      <c r="D56" s="42"/>
      <c r="E56" s="18">
        <v>54.9</v>
      </c>
      <c r="F56" s="18">
        <f t="shared" si="2"/>
        <v>54.9</v>
      </c>
      <c r="G56" s="169"/>
    </row>
    <row r="57" spans="1:9" s="5" customFormat="1" ht="40.5" customHeight="1">
      <c r="A57" s="74" t="s">
        <v>7</v>
      </c>
      <c r="B57" s="109">
        <v>4030</v>
      </c>
      <c r="C57" s="42">
        <f>SUM(C58:C178)</f>
        <v>532.30000000000007</v>
      </c>
      <c r="D57" s="42">
        <f t="shared" ref="D57:E57" si="3">SUM(D58:D178)</f>
        <v>0</v>
      </c>
      <c r="E57" s="42">
        <f t="shared" si="3"/>
        <v>1368.6</v>
      </c>
      <c r="F57" s="14">
        <f t="shared" si="2"/>
        <v>1368.6</v>
      </c>
      <c r="G57" s="179"/>
      <c r="H57" s="28"/>
    </row>
    <row r="58" spans="1:9" s="5" customFormat="1" ht="26.25" customHeight="1">
      <c r="A58" s="181" t="s">
        <v>216</v>
      </c>
      <c r="B58" s="109"/>
      <c r="C58" s="18">
        <v>1.6</v>
      </c>
      <c r="D58" s="42"/>
      <c r="E58" s="18"/>
      <c r="F58" s="18">
        <f t="shared" si="2"/>
        <v>0</v>
      </c>
      <c r="G58" s="169"/>
      <c r="H58" s="28"/>
    </row>
    <row r="59" spans="1:9" s="5" customFormat="1" ht="22.5" customHeight="1">
      <c r="A59" s="181" t="s">
        <v>378</v>
      </c>
      <c r="B59" s="109"/>
      <c r="C59" s="18">
        <v>2.2000000000000002</v>
      </c>
      <c r="D59" s="42"/>
      <c r="E59" s="18"/>
      <c r="F59" s="18">
        <f t="shared" si="2"/>
        <v>0</v>
      </c>
      <c r="G59" s="169"/>
      <c r="H59" s="28"/>
    </row>
    <row r="60" spans="1:9" s="5" customFormat="1" ht="38.25" customHeight="1">
      <c r="A60" s="180" t="s">
        <v>379</v>
      </c>
      <c r="B60" s="109"/>
      <c r="C60" s="18">
        <v>2</v>
      </c>
      <c r="D60" s="42"/>
      <c r="E60" s="18"/>
      <c r="F60" s="18">
        <f t="shared" si="2"/>
        <v>0</v>
      </c>
      <c r="G60" s="169"/>
      <c r="H60" s="28"/>
    </row>
    <row r="61" spans="1:9" s="5" customFormat="1" ht="38.25" customHeight="1">
      <c r="A61" s="180" t="s">
        <v>380</v>
      </c>
      <c r="B61" s="109"/>
      <c r="C61" s="18">
        <v>1</v>
      </c>
      <c r="D61" s="42"/>
      <c r="E61" s="18"/>
      <c r="F61" s="18">
        <f t="shared" si="2"/>
        <v>0</v>
      </c>
      <c r="G61" s="169"/>
      <c r="H61" s="28"/>
    </row>
    <row r="62" spans="1:9" s="5" customFormat="1" ht="26.25" customHeight="1">
      <c r="A62" s="181" t="s">
        <v>381</v>
      </c>
      <c r="B62" s="109"/>
      <c r="C62" s="18">
        <v>0.6</v>
      </c>
      <c r="D62" s="42"/>
      <c r="E62" s="18"/>
      <c r="F62" s="18">
        <f t="shared" si="2"/>
        <v>0</v>
      </c>
      <c r="G62" s="169"/>
      <c r="H62" s="28"/>
    </row>
    <row r="63" spans="1:9" s="5" customFormat="1" ht="24" customHeight="1">
      <c r="A63" s="181" t="s">
        <v>382</v>
      </c>
      <c r="B63" s="109"/>
      <c r="C63" s="18">
        <v>5</v>
      </c>
      <c r="D63" s="42"/>
      <c r="E63" s="18"/>
      <c r="F63" s="18">
        <f t="shared" si="2"/>
        <v>0</v>
      </c>
      <c r="G63" s="169"/>
      <c r="H63" s="28"/>
    </row>
    <row r="64" spans="1:9" s="5" customFormat="1" ht="38.25" customHeight="1">
      <c r="A64" s="180" t="s">
        <v>383</v>
      </c>
      <c r="B64" s="109"/>
      <c r="C64" s="18">
        <v>11.2</v>
      </c>
      <c r="D64" s="42"/>
      <c r="E64" s="18"/>
      <c r="F64" s="18">
        <f t="shared" si="2"/>
        <v>0</v>
      </c>
      <c r="G64" s="169"/>
      <c r="H64" s="28"/>
    </row>
    <row r="65" spans="1:8" s="5" customFormat="1" ht="27" customHeight="1">
      <c r="A65" s="180" t="s">
        <v>384</v>
      </c>
      <c r="B65" s="109"/>
      <c r="C65" s="18">
        <v>2.5</v>
      </c>
      <c r="D65" s="42"/>
      <c r="E65" s="18"/>
      <c r="F65" s="18">
        <f t="shared" si="2"/>
        <v>0</v>
      </c>
      <c r="G65" s="169"/>
      <c r="H65" s="28"/>
    </row>
    <row r="66" spans="1:8" s="5" customFormat="1" ht="38.25" customHeight="1">
      <c r="A66" s="180" t="s">
        <v>385</v>
      </c>
      <c r="B66" s="109"/>
      <c r="C66" s="18">
        <v>0.9</v>
      </c>
      <c r="D66" s="42"/>
      <c r="E66" s="18"/>
      <c r="F66" s="18">
        <f t="shared" si="2"/>
        <v>0</v>
      </c>
      <c r="G66" s="169"/>
      <c r="H66" s="28"/>
    </row>
    <row r="67" spans="1:8" s="5" customFormat="1" ht="27" customHeight="1">
      <c r="A67" s="180" t="s">
        <v>386</v>
      </c>
      <c r="B67" s="109"/>
      <c r="C67" s="18">
        <v>1.3</v>
      </c>
      <c r="D67" s="42"/>
      <c r="E67" s="18"/>
      <c r="F67" s="18">
        <f t="shared" si="2"/>
        <v>0</v>
      </c>
      <c r="G67" s="169"/>
      <c r="H67" s="28"/>
    </row>
    <row r="68" spans="1:8" s="5" customFormat="1" ht="27" customHeight="1">
      <c r="A68" s="180" t="s">
        <v>387</v>
      </c>
      <c r="B68" s="109"/>
      <c r="C68" s="18">
        <v>0.5</v>
      </c>
      <c r="D68" s="42"/>
      <c r="E68" s="18"/>
      <c r="F68" s="18">
        <f t="shared" si="2"/>
        <v>0</v>
      </c>
      <c r="G68" s="169"/>
      <c r="H68" s="28"/>
    </row>
    <row r="69" spans="1:8" s="5" customFormat="1" ht="38.25" customHeight="1">
      <c r="A69" s="180" t="s">
        <v>388</v>
      </c>
      <c r="B69" s="109"/>
      <c r="C69" s="18">
        <v>1.8</v>
      </c>
      <c r="D69" s="42"/>
      <c r="E69" s="18"/>
      <c r="F69" s="18">
        <f t="shared" si="2"/>
        <v>0</v>
      </c>
      <c r="G69" s="169"/>
      <c r="H69" s="28"/>
    </row>
    <row r="70" spans="1:8" s="5" customFormat="1" ht="24" customHeight="1">
      <c r="A70" s="181" t="s">
        <v>254</v>
      </c>
      <c r="B70" s="109"/>
      <c r="C70" s="18">
        <v>7.2</v>
      </c>
      <c r="D70" s="42"/>
      <c r="E70" s="18"/>
      <c r="F70" s="18">
        <f t="shared" si="2"/>
        <v>0</v>
      </c>
      <c r="G70" s="169"/>
      <c r="H70" s="28"/>
    </row>
    <row r="71" spans="1:8" s="5" customFormat="1" ht="24" customHeight="1">
      <c r="A71" s="181" t="s">
        <v>389</v>
      </c>
      <c r="B71" s="109"/>
      <c r="C71" s="18">
        <v>16.600000000000001</v>
      </c>
      <c r="D71" s="42"/>
      <c r="E71" s="18"/>
      <c r="F71" s="18">
        <f t="shared" si="2"/>
        <v>0</v>
      </c>
      <c r="G71" s="169"/>
      <c r="H71" s="28"/>
    </row>
    <row r="72" spans="1:8" s="5" customFormat="1" ht="24.75" customHeight="1">
      <c r="A72" s="180" t="s">
        <v>390</v>
      </c>
      <c r="B72" s="109"/>
      <c r="C72" s="18">
        <v>18.899999999999999</v>
      </c>
      <c r="D72" s="42"/>
      <c r="E72" s="18"/>
      <c r="F72" s="18">
        <f t="shared" si="2"/>
        <v>0</v>
      </c>
      <c r="G72" s="169"/>
      <c r="H72" s="28"/>
    </row>
    <row r="73" spans="1:8" s="5" customFormat="1" ht="27.75" customHeight="1">
      <c r="A73" s="181" t="s">
        <v>391</v>
      </c>
      <c r="B73" s="109"/>
      <c r="C73" s="18">
        <v>29.8</v>
      </c>
      <c r="D73" s="42"/>
      <c r="E73" s="18"/>
      <c r="F73" s="18">
        <f t="shared" si="2"/>
        <v>0</v>
      </c>
      <c r="G73" s="169"/>
      <c r="H73" s="28"/>
    </row>
    <row r="74" spans="1:8" s="5" customFormat="1" ht="27.75" customHeight="1">
      <c r="A74" s="180" t="s">
        <v>392</v>
      </c>
      <c r="B74" s="109"/>
      <c r="C74" s="18">
        <v>26.7</v>
      </c>
      <c r="D74" s="42"/>
      <c r="E74" s="18"/>
      <c r="F74" s="18">
        <f t="shared" si="2"/>
        <v>0</v>
      </c>
      <c r="G74" s="169"/>
      <c r="H74" s="28"/>
    </row>
    <row r="75" spans="1:8" s="5" customFormat="1" ht="27" customHeight="1">
      <c r="A75" s="181" t="s">
        <v>393</v>
      </c>
      <c r="B75" s="109"/>
      <c r="C75" s="18">
        <v>4.5999999999999996</v>
      </c>
      <c r="D75" s="42"/>
      <c r="E75" s="18"/>
      <c r="F75" s="18">
        <f t="shared" ref="F75:F138" si="4">E75-D75</f>
        <v>0</v>
      </c>
      <c r="G75" s="169"/>
      <c r="H75" s="28"/>
    </row>
    <row r="76" spans="1:8" s="5" customFormat="1" ht="27" customHeight="1">
      <c r="A76" s="181" t="s">
        <v>394</v>
      </c>
      <c r="B76" s="109"/>
      <c r="C76" s="18">
        <v>8.9</v>
      </c>
      <c r="D76" s="42"/>
      <c r="E76" s="18"/>
      <c r="F76" s="18">
        <f t="shared" si="4"/>
        <v>0</v>
      </c>
      <c r="G76" s="169"/>
      <c r="H76" s="28"/>
    </row>
    <row r="77" spans="1:8" s="5" customFormat="1" ht="25.5" customHeight="1">
      <c r="A77" s="180" t="s">
        <v>395</v>
      </c>
      <c r="B77" s="109"/>
      <c r="C77" s="18">
        <v>10</v>
      </c>
      <c r="D77" s="42"/>
      <c r="E77" s="18"/>
      <c r="F77" s="18">
        <f t="shared" si="4"/>
        <v>0</v>
      </c>
      <c r="G77" s="169"/>
      <c r="H77" s="28"/>
    </row>
    <row r="78" spans="1:8" s="5" customFormat="1" ht="26.25" customHeight="1">
      <c r="A78" s="181" t="s">
        <v>217</v>
      </c>
      <c r="B78" s="109"/>
      <c r="C78" s="18">
        <v>0.2</v>
      </c>
      <c r="D78" s="42"/>
      <c r="E78" s="18"/>
      <c r="F78" s="18">
        <f t="shared" si="4"/>
        <v>0</v>
      </c>
      <c r="G78" s="169"/>
      <c r="H78" s="28"/>
    </row>
    <row r="79" spans="1:8" s="5" customFormat="1" ht="24" customHeight="1">
      <c r="A79" s="181" t="s">
        <v>255</v>
      </c>
      <c r="B79" s="109"/>
      <c r="C79" s="18">
        <v>1</v>
      </c>
      <c r="D79" s="42"/>
      <c r="E79" s="18"/>
      <c r="F79" s="18">
        <f t="shared" si="4"/>
        <v>0</v>
      </c>
      <c r="G79" s="169"/>
      <c r="H79" s="28"/>
    </row>
    <row r="80" spans="1:8" s="5" customFormat="1" ht="23.25" customHeight="1">
      <c r="A80" s="181" t="s">
        <v>396</v>
      </c>
      <c r="B80" s="109"/>
      <c r="C80" s="18">
        <v>31.9</v>
      </c>
      <c r="D80" s="42"/>
      <c r="E80" s="18"/>
      <c r="F80" s="18">
        <f t="shared" si="4"/>
        <v>0</v>
      </c>
      <c r="G80" s="169"/>
      <c r="H80" s="28"/>
    </row>
    <row r="81" spans="1:12" s="5" customFormat="1" ht="27" customHeight="1">
      <c r="A81" s="181" t="s">
        <v>289</v>
      </c>
      <c r="B81" s="109"/>
      <c r="C81" s="18">
        <v>2.1</v>
      </c>
      <c r="D81" s="42"/>
      <c r="E81" s="18"/>
      <c r="F81" s="18">
        <f t="shared" si="4"/>
        <v>0</v>
      </c>
      <c r="G81" s="169"/>
      <c r="H81" s="28"/>
    </row>
    <row r="82" spans="1:12" s="5" customFormat="1" ht="41.25" customHeight="1">
      <c r="A82" s="180" t="s">
        <v>397</v>
      </c>
      <c r="B82" s="109"/>
      <c r="C82" s="18">
        <v>31.5</v>
      </c>
      <c r="D82" s="42"/>
      <c r="E82" s="18"/>
      <c r="F82" s="18">
        <f t="shared" si="4"/>
        <v>0</v>
      </c>
      <c r="G82" s="169"/>
      <c r="H82" s="28"/>
    </row>
    <row r="83" spans="1:12" s="5" customFormat="1" ht="24.75" customHeight="1">
      <c r="A83" s="181" t="s">
        <v>398</v>
      </c>
      <c r="B83" s="109"/>
      <c r="C83" s="18">
        <v>32.4</v>
      </c>
      <c r="D83" s="42"/>
      <c r="E83" s="18"/>
      <c r="F83" s="18">
        <f t="shared" si="4"/>
        <v>0</v>
      </c>
      <c r="G83" s="169"/>
      <c r="H83" s="28"/>
    </row>
    <row r="84" spans="1:12" s="5" customFormat="1" ht="26.25" customHeight="1">
      <c r="A84" s="181" t="s">
        <v>399</v>
      </c>
      <c r="B84" s="109"/>
      <c r="C84" s="18">
        <v>41</v>
      </c>
      <c r="D84" s="42"/>
      <c r="E84" s="18"/>
      <c r="F84" s="18">
        <f t="shared" si="4"/>
        <v>0</v>
      </c>
      <c r="G84" s="169"/>
      <c r="H84" s="28"/>
    </row>
    <row r="85" spans="1:12" s="5" customFormat="1" ht="25.5" customHeight="1">
      <c r="A85" s="181" t="s">
        <v>400</v>
      </c>
      <c r="B85" s="109"/>
      <c r="C85" s="18">
        <v>4.0999999999999996</v>
      </c>
      <c r="D85" s="42"/>
      <c r="E85" s="18"/>
      <c r="F85" s="18">
        <f t="shared" si="4"/>
        <v>0</v>
      </c>
      <c r="G85" s="169"/>
      <c r="H85" s="28"/>
    </row>
    <row r="86" spans="1:12" s="5" customFormat="1" ht="38.25" customHeight="1">
      <c r="A86" s="180" t="s">
        <v>401</v>
      </c>
      <c r="B86" s="109"/>
      <c r="C86" s="18">
        <v>27.3</v>
      </c>
      <c r="D86" s="42"/>
      <c r="E86" s="18"/>
      <c r="F86" s="18">
        <f t="shared" si="4"/>
        <v>0</v>
      </c>
      <c r="G86" s="169"/>
      <c r="H86" s="28"/>
    </row>
    <row r="87" spans="1:12" s="5" customFormat="1" ht="25.5" customHeight="1">
      <c r="A87" s="180" t="s">
        <v>402</v>
      </c>
      <c r="B87" s="109"/>
      <c r="C87" s="18">
        <v>24.1</v>
      </c>
      <c r="D87" s="42"/>
      <c r="E87" s="18"/>
      <c r="F87" s="18">
        <f t="shared" si="4"/>
        <v>0</v>
      </c>
      <c r="G87" s="169"/>
      <c r="H87" s="28"/>
    </row>
    <row r="88" spans="1:12" s="5" customFormat="1" ht="27.75" customHeight="1">
      <c r="A88" s="180" t="s">
        <v>403</v>
      </c>
      <c r="B88" s="109"/>
      <c r="C88" s="18">
        <v>7.6</v>
      </c>
      <c r="D88" s="42"/>
      <c r="E88" s="18"/>
      <c r="F88" s="18">
        <f t="shared" si="4"/>
        <v>0</v>
      </c>
      <c r="G88" s="169"/>
      <c r="H88" s="28"/>
    </row>
    <row r="89" spans="1:12" s="5" customFormat="1" ht="28.5" customHeight="1">
      <c r="A89" s="180" t="s">
        <v>404</v>
      </c>
      <c r="B89" s="109"/>
      <c r="C89" s="18">
        <v>5.5</v>
      </c>
      <c r="D89" s="42"/>
      <c r="E89" s="18"/>
      <c r="F89" s="18">
        <f t="shared" si="4"/>
        <v>0</v>
      </c>
      <c r="G89" s="169"/>
      <c r="H89" s="28"/>
    </row>
    <row r="90" spans="1:12" s="5" customFormat="1" ht="27.75" customHeight="1">
      <c r="A90" s="181" t="s">
        <v>405</v>
      </c>
      <c r="B90" s="109"/>
      <c r="C90" s="18">
        <v>1</v>
      </c>
      <c r="D90" s="42"/>
      <c r="E90" s="18"/>
      <c r="F90" s="18">
        <f t="shared" si="4"/>
        <v>0</v>
      </c>
      <c r="G90" s="169"/>
      <c r="H90" s="28"/>
    </row>
    <row r="91" spans="1:12" s="5" customFormat="1" ht="26.25" customHeight="1">
      <c r="A91" s="181" t="s">
        <v>406</v>
      </c>
      <c r="B91" s="109"/>
      <c r="C91" s="18">
        <v>24.9</v>
      </c>
      <c r="D91" s="42"/>
      <c r="E91" s="18"/>
      <c r="F91" s="18">
        <f t="shared" si="4"/>
        <v>0</v>
      </c>
      <c r="G91" s="169"/>
      <c r="H91" s="28"/>
    </row>
    <row r="92" spans="1:12" s="5" customFormat="1" ht="28.5" customHeight="1">
      <c r="A92" s="181" t="s">
        <v>407</v>
      </c>
      <c r="B92" s="109"/>
      <c r="C92" s="18">
        <v>0.5</v>
      </c>
      <c r="D92" s="42"/>
      <c r="E92" s="18"/>
      <c r="F92" s="18">
        <f t="shared" si="4"/>
        <v>0</v>
      </c>
      <c r="G92" s="169"/>
      <c r="H92" s="28"/>
    </row>
    <row r="93" spans="1:12" s="5" customFormat="1" ht="25.5" customHeight="1">
      <c r="A93" s="180" t="s">
        <v>408</v>
      </c>
      <c r="B93" s="109"/>
      <c r="C93" s="18">
        <v>48</v>
      </c>
      <c r="D93" s="42"/>
      <c r="E93" s="18"/>
      <c r="F93" s="18">
        <f t="shared" si="4"/>
        <v>0</v>
      </c>
      <c r="G93" s="169"/>
      <c r="H93" s="28"/>
    </row>
    <row r="94" spans="1:12" s="5" customFormat="1" ht="27.75" customHeight="1">
      <c r="A94" s="181" t="s">
        <v>409</v>
      </c>
      <c r="B94" s="109"/>
      <c r="C94" s="18">
        <v>13.3</v>
      </c>
      <c r="D94" s="42"/>
      <c r="E94" s="18"/>
      <c r="F94" s="18">
        <f t="shared" si="4"/>
        <v>0</v>
      </c>
      <c r="G94" s="169"/>
      <c r="H94" s="28"/>
      <c r="L94" s="190"/>
    </row>
    <row r="95" spans="1:12" s="5" customFormat="1" ht="38.25" customHeight="1">
      <c r="A95" s="180" t="s">
        <v>410</v>
      </c>
      <c r="B95" s="109"/>
      <c r="C95" s="182">
        <v>31.5</v>
      </c>
      <c r="D95" s="42"/>
      <c r="E95" s="18"/>
      <c r="F95" s="18">
        <f t="shared" si="4"/>
        <v>0</v>
      </c>
      <c r="G95" s="169"/>
      <c r="H95" s="28"/>
    </row>
    <row r="96" spans="1:12" s="5" customFormat="1" ht="27.75" customHeight="1">
      <c r="A96" s="180" t="s">
        <v>411</v>
      </c>
      <c r="B96" s="109"/>
      <c r="C96" s="182">
        <v>1.2</v>
      </c>
      <c r="D96" s="42"/>
      <c r="E96" s="18"/>
      <c r="F96" s="18">
        <f t="shared" si="4"/>
        <v>0</v>
      </c>
      <c r="G96" s="169"/>
      <c r="H96" s="28"/>
    </row>
    <row r="97" spans="1:9" s="5" customFormat="1" ht="38.25" customHeight="1">
      <c r="A97" s="180" t="s">
        <v>412</v>
      </c>
      <c r="B97" s="109"/>
      <c r="C97" s="182">
        <v>1.3</v>
      </c>
      <c r="D97" s="42"/>
      <c r="E97" s="18"/>
      <c r="F97" s="18">
        <f t="shared" si="4"/>
        <v>0</v>
      </c>
      <c r="G97" s="169"/>
      <c r="H97" s="28"/>
    </row>
    <row r="98" spans="1:9" s="5" customFormat="1" ht="26.25" customHeight="1">
      <c r="A98" s="181" t="s">
        <v>413</v>
      </c>
      <c r="B98" s="109"/>
      <c r="C98" s="182">
        <v>1</v>
      </c>
      <c r="D98" s="42"/>
      <c r="E98" s="18"/>
      <c r="F98" s="18">
        <f t="shared" si="4"/>
        <v>0</v>
      </c>
      <c r="G98" s="169"/>
      <c r="H98" s="28"/>
      <c r="I98" s="177"/>
    </row>
    <row r="99" spans="1:9" s="5" customFormat="1" ht="30" customHeight="1">
      <c r="A99" s="181" t="s">
        <v>414</v>
      </c>
      <c r="B99" s="109"/>
      <c r="C99" s="182">
        <v>1.4</v>
      </c>
      <c r="D99" s="42"/>
      <c r="E99" s="18"/>
      <c r="F99" s="18">
        <f t="shared" si="4"/>
        <v>0</v>
      </c>
      <c r="G99" s="169"/>
      <c r="H99" s="28"/>
    </row>
    <row r="100" spans="1:9" s="5" customFormat="1" ht="24" customHeight="1">
      <c r="A100" s="181" t="s">
        <v>415</v>
      </c>
      <c r="B100" s="109"/>
      <c r="C100" s="182">
        <v>6</v>
      </c>
      <c r="D100" s="42"/>
      <c r="E100" s="18"/>
      <c r="F100" s="18">
        <f t="shared" si="4"/>
        <v>0</v>
      </c>
      <c r="G100" s="169"/>
      <c r="H100" s="28"/>
    </row>
    <row r="101" spans="1:9" s="5" customFormat="1" ht="25.5" customHeight="1">
      <c r="A101" s="181" t="s">
        <v>416</v>
      </c>
      <c r="B101" s="109"/>
      <c r="C101" s="182">
        <v>4</v>
      </c>
      <c r="D101" s="42"/>
      <c r="E101" s="18"/>
      <c r="F101" s="18">
        <f t="shared" si="4"/>
        <v>0</v>
      </c>
      <c r="G101" s="169"/>
      <c r="H101" s="28"/>
    </row>
    <row r="102" spans="1:9" s="5" customFormat="1" ht="26.25" customHeight="1">
      <c r="A102" s="181" t="s">
        <v>417</v>
      </c>
      <c r="B102" s="109"/>
      <c r="C102" s="182">
        <v>12.5</v>
      </c>
      <c r="D102" s="42"/>
      <c r="E102" s="18"/>
      <c r="F102" s="18">
        <f t="shared" si="4"/>
        <v>0</v>
      </c>
      <c r="G102" s="169"/>
      <c r="H102" s="28"/>
    </row>
    <row r="103" spans="1:9" s="5" customFormat="1" ht="24.75" customHeight="1">
      <c r="A103" s="181" t="s">
        <v>418</v>
      </c>
      <c r="B103" s="109"/>
      <c r="C103" s="182">
        <v>7</v>
      </c>
      <c r="D103" s="42"/>
      <c r="E103" s="18"/>
      <c r="F103" s="18">
        <f t="shared" si="4"/>
        <v>0</v>
      </c>
      <c r="G103" s="169"/>
      <c r="H103" s="28"/>
    </row>
    <row r="104" spans="1:9" s="5" customFormat="1" ht="25.5" customHeight="1">
      <c r="A104" s="181" t="s">
        <v>419</v>
      </c>
      <c r="B104" s="109"/>
      <c r="C104" s="182">
        <v>8.3000000000000007</v>
      </c>
      <c r="D104" s="42"/>
      <c r="E104" s="18"/>
      <c r="F104" s="18">
        <f t="shared" si="4"/>
        <v>0</v>
      </c>
      <c r="G104" s="169"/>
      <c r="H104" s="28"/>
    </row>
    <row r="105" spans="1:9" s="5" customFormat="1" ht="26.25" customHeight="1">
      <c r="A105" s="180" t="s">
        <v>420</v>
      </c>
      <c r="B105" s="109"/>
      <c r="C105" s="182">
        <v>3.2</v>
      </c>
      <c r="D105" s="42"/>
      <c r="E105" s="18"/>
      <c r="F105" s="18">
        <f t="shared" si="4"/>
        <v>0</v>
      </c>
      <c r="G105" s="169"/>
      <c r="H105" s="28"/>
    </row>
    <row r="106" spans="1:9" s="5" customFormat="1" ht="24.75" customHeight="1">
      <c r="A106" s="180" t="s">
        <v>421</v>
      </c>
      <c r="B106" s="109"/>
      <c r="C106" s="182">
        <v>4.0999999999999996</v>
      </c>
      <c r="D106" s="42"/>
      <c r="E106" s="18"/>
      <c r="F106" s="18">
        <f t="shared" si="4"/>
        <v>0</v>
      </c>
      <c r="G106" s="169"/>
      <c r="H106" s="28"/>
    </row>
    <row r="107" spans="1:9" s="5" customFormat="1" ht="28.5" customHeight="1">
      <c r="A107" s="180" t="s">
        <v>422</v>
      </c>
      <c r="B107" s="109"/>
      <c r="C107" s="182">
        <v>0.6</v>
      </c>
      <c r="D107" s="42"/>
      <c r="E107" s="18"/>
      <c r="F107" s="18">
        <f t="shared" si="4"/>
        <v>0</v>
      </c>
      <c r="G107" s="169"/>
      <c r="H107" s="28"/>
    </row>
    <row r="108" spans="1:9" s="5" customFormat="1" ht="26.25" customHeight="1">
      <c r="A108" s="180" t="s">
        <v>423</v>
      </c>
      <c r="B108" s="109"/>
      <c r="C108" s="182">
        <v>0.5</v>
      </c>
      <c r="D108" s="42"/>
      <c r="E108" s="18"/>
      <c r="F108" s="18">
        <f t="shared" si="4"/>
        <v>0</v>
      </c>
      <c r="G108" s="169"/>
      <c r="H108" s="28"/>
    </row>
    <row r="109" spans="1:9" s="5" customFormat="1" ht="25.5" customHeight="1">
      <c r="A109" s="181" t="s">
        <v>290</v>
      </c>
      <c r="B109" s="109"/>
      <c r="C109" s="182"/>
      <c r="D109" s="42"/>
      <c r="E109" s="119">
        <v>14.1</v>
      </c>
      <c r="F109" s="18">
        <f t="shared" si="4"/>
        <v>14.1</v>
      </c>
      <c r="G109" s="169"/>
      <c r="H109" s="28"/>
    </row>
    <row r="110" spans="1:9" s="5" customFormat="1" ht="28.5" customHeight="1">
      <c r="A110" s="181" t="s">
        <v>291</v>
      </c>
      <c r="B110" s="109"/>
      <c r="C110" s="182"/>
      <c r="D110" s="42"/>
      <c r="E110" s="18">
        <v>8.1999999999999993</v>
      </c>
      <c r="F110" s="18">
        <f t="shared" si="4"/>
        <v>8.1999999999999993</v>
      </c>
      <c r="G110" s="169"/>
      <c r="H110" s="28"/>
    </row>
    <row r="111" spans="1:9" s="5" customFormat="1" ht="28.5" customHeight="1">
      <c r="A111" s="181" t="s">
        <v>426</v>
      </c>
      <c r="B111" s="109"/>
      <c r="C111" s="182"/>
      <c r="D111" s="42"/>
      <c r="E111" s="18">
        <v>0.3</v>
      </c>
      <c r="F111" s="18">
        <f t="shared" si="4"/>
        <v>0.3</v>
      </c>
      <c r="G111" s="169"/>
      <c r="H111" s="28"/>
    </row>
    <row r="112" spans="1:9" s="5" customFormat="1" ht="26.25" customHeight="1">
      <c r="A112" s="180" t="s">
        <v>292</v>
      </c>
      <c r="B112" s="109"/>
      <c r="C112" s="182"/>
      <c r="D112" s="42"/>
      <c r="E112" s="18">
        <v>0.1</v>
      </c>
      <c r="F112" s="18">
        <f t="shared" si="4"/>
        <v>0.1</v>
      </c>
      <c r="G112" s="169"/>
      <c r="H112" s="28"/>
    </row>
    <row r="113" spans="1:8" s="5" customFormat="1" ht="30.75" customHeight="1">
      <c r="A113" s="181" t="s">
        <v>460</v>
      </c>
      <c r="B113" s="109"/>
      <c r="C113" s="182"/>
      <c r="D113" s="42"/>
      <c r="E113" s="18">
        <v>1.6</v>
      </c>
      <c r="F113" s="18">
        <f t="shared" si="4"/>
        <v>1.6</v>
      </c>
      <c r="G113" s="169"/>
      <c r="H113" s="28"/>
    </row>
    <row r="114" spans="1:8" s="5" customFormat="1" ht="27" customHeight="1">
      <c r="A114" s="181" t="s">
        <v>461</v>
      </c>
      <c r="B114" s="109"/>
      <c r="C114" s="182"/>
      <c r="D114" s="42"/>
      <c r="E114" s="18">
        <v>4.2</v>
      </c>
      <c r="F114" s="18">
        <f t="shared" si="4"/>
        <v>4.2</v>
      </c>
      <c r="G114" s="169"/>
      <c r="H114" s="28"/>
    </row>
    <row r="115" spans="1:8" s="5" customFormat="1" ht="26.25" customHeight="1">
      <c r="A115" s="181" t="s">
        <v>462</v>
      </c>
      <c r="B115" s="109"/>
      <c r="C115" s="182"/>
      <c r="D115" s="42"/>
      <c r="E115" s="18">
        <v>1.2</v>
      </c>
      <c r="F115" s="18">
        <f t="shared" si="4"/>
        <v>1.2</v>
      </c>
      <c r="G115" s="169"/>
      <c r="H115" s="28"/>
    </row>
    <row r="116" spans="1:8" s="5" customFormat="1" ht="28.5" customHeight="1">
      <c r="A116" s="181" t="s">
        <v>293</v>
      </c>
      <c r="B116" s="109"/>
      <c r="C116" s="182"/>
      <c r="D116" s="42"/>
      <c r="E116" s="18">
        <v>0.2</v>
      </c>
      <c r="F116" s="18">
        <f t="shared" si="4"/>
        <v>0.2</v>
      </c>
      <c r="G116" s="169"/>
      <c r="H116" s="28"/>
    </row>
    <row r="117" spans="1:8" s="5" customFormat="1" ht="25.5" customHeight="1">
      <c r="A117" s="181" t="s">
        <v>294</v>
      </c>
      <c r="B117" s="109"/>
      <c r="C117" s="182"/>
      <c r="D117" s="42"/>
      <c r="E117" s="18">
        <v>0.5</v>
      </c>
      <c r="F117" s="18">
        <f t="shared" si="4"/>
        <v>0.5</v>
      </c>
      <c r="G117" s="169"/>
      <c r="H117" s="28"/>
    </row>
    <row r="118" spans="1:8" s="5" customFormat="1" ht="38.25" customHeight="1">
      <c r="A118" s="180" t="s">
        <v>295</v>
      </c>
      <c r="B118" s="109"/>
      <c r="C118" s="182"/>
      <c r="D118" s="42"/>
      <c r="E118" s="18">
        <v>0.7</v>
      </c>
      <c r="F118" s="18">
        <f t="shared" si="4"/>
        <v>0.7</v>
      </c>
      <c r="G118" s="169"/>
      <c r="H118" s="28"/>
    </row>
    <row r="119" spans="1:8" s="5" customFormat="1" ht="27" customHeight="1">
      <c r="A119" s="181" t="s">
        <v>296</v>
      </c>
      <c r="B119" s="109"/>
      <c r="C119" s="182"/>
      <c r="D119" s="42"/>
      <c r="E119" s="18">
        <v>1.9</v>
      </c>
      <c r="F119" s="18">
        <f t="shared" si="4"/>
        <v>1.9</v>
      </c>
      <c r="G119" s="169"/>
      <c r="H119" s="28"/>
    </row>
    <row r="120" spans="1:8" s="5" customFormat="1" ht="27.75" customHeight="1">
      <c r="A120" s="181" t="s">
        <v>297</v>
      </c>
      <c r="B120" s="109"/>
      <c r="C120" s="182"/>
      <c r="D120" s="42"/>
      <c r="E120" s="18">
        <v>2.1</v>
      </c>
      <c r="F120" s="18">
        <f t="shared" si="4"/>
        <v>2.1</v>
      </c>
      <c r="G120" s="169"/>
      <c r="H120" s="28"/>
    </row>
    <row r="121" spans="1:8" s="5" customFormat="1" ht="26.25" customHeight="1">
      <c r="A121" s="181" t="s">
        <v>298</v>
      </c>
      <c r="B121" s="109"/>
      <c r="C121" s="182"/>
      <c r="D121" s="42"/>
      <c r="E121" s="18">
        <v>1.7</v>
      </c>
      <c r="F121" s="18">
        <f t="shared" si="4"/>
        <v>1.7</v>
      </c>
      <c r="G121" s="169"/>
      <c r="H121" s="28"/>
    </row>
    <row r="122" spans="1:8" s="5" customFormat="1" ht="24.75" customHeight="1">
      <c r="A122" s="181" t="s">
        <v>299</v>
      </c>
      <c r="B122" s="109"/>
      <c r="C122" s="182"/>
      <c r="D122" s="42"/>
      <c r="E122" s="18">
        <v>1</v>
      </c>
      <c r="F122" s="18">
        <f t="shared" si="4"/>
        <v>1</v>
      </c>
      <c r="G122" s="169"/>
      <c r="H122" s="28"/>
    </row>
    <row r="123" spans="1:8" s="5" customFormat="1" ht="27.75" customHeight="1">
      <c r="A123" s="181" t="s">
        <v>463</v>
      </c>
      <c r="B123" s="109"/>
      <c r="C123" s="182"/>
      <c r="D123" s="42"/>
      <c r="E123" s="18">
        <v>1.3</v>
      </c>
      <c r="F123" s="18">
        <f t="shared" si="4"/>
        <v>1.3</v>
      </c>
      <c r="G123" s="169"/>
      <c r="H123" s="28"/>
    </row>
    <row r="124" spans="1:8" s="5" customFormat="1" ht="30.75" customHeight="1">
      <c r="A124" s="181" t="s">
        <v>300</v>
      </c>
      <c r="B124" s="109"/>
      <c r="C124" s="182"/>
      <c r="D124" s="42"/>
      <c r="E124" s="18">
        <v>0.4</v>
      </c>
      <c r="F124" s="18">
        <f t="shared" si="4"/>
        <v>0.4</v>
      </c>
      <c r="G124" s="169"/>
      <c r="H124" s="28"/>
    </row>
    <row r="125" spans="1:8" s="5" customFormat="1" ht="23.25" customHeight="1">
      <c r="A125" s="181" t="s">
        <v>301</v>
      </c>
      <c r="B125" s="109"/>
      <c r="C125" s="182"/>
      <c r="D125" s="42"/>
      <c r="E125" s="18">
        <v>2.2000000000000002</v>
      </c>
      <c r="F125" s="18">
        <f t="shared" si="4"/>
        <v>2.2000000000000002</v>
      </c>
      <c r="G125" s="169"/>
      <c r="H125" s="28"/>
    </row>
    <row r="126" spans="1:8" s="5" customFormat="1" ht="26.25" customHeight="1">
      <c r="A126" s="181" t="s">
        <v>302</v>
      </c>
      <c r="B126" s="109"/>
      <c r="C126" s="182"/>
      <c r="D126" s="42"/>
      <c r="E126" s="18">
        <v>1.1000000000000001</v>
      </c>
      <c r="F126" s="18">
        <f t="shared" si="4"/>
        <v>1.1000000000000001</v>
      </c>
      <c r="G126" s="169"/>
      <c r="H126" s="28"/>
    </row>
    <row r="127" spans="1:8" s="5" customFormat="1" ht="41.25" customHeight="1">
      <c r="A127" s="180" t="s">
        <v>303</v>
      </c>
      <c r="B127" s="109"/>
      <c r="C127" s="182"/>
      <c r="D127" s="42"/>
      <c r="E127" s="18">
        <v>1.7</v>
      </c>
      <c r="F127" s="18">
        <f t="shared" si="4"/>
        <v>1.7</v>
      </c>
      <c r="G127" s="169"/>
      <c r="H127" s="28"/>
    </row>
    <row r="128" spans="1:8" s="5" customFormat="1" ht="26.25" customHeight="1">
      <c r="A128" s="181" t="s">
        <v>304</v>
      </c>
      <c r="B128" s="109"/>
      <c r="C128" s="182"/>
      <c r="D128" s="42"/>
      <c r="E128" s="18">
        <v>2.1</v>
      </c>
      <c r="F128" s="18">
        <f t="shared" si="4"/>
        <v>2.1</v>
      </c>
      <c r="G128" s="169"/>
      <c r="H128" s="28"/>
    </row>
    <row r="129" spans="1:8" s="5" customFormat="1" ht="27.75" customHeight="1">
      <c r="A129" s="181" t="s">
        <v>305</v>
      </c>
      <c r="B129" s="109"/>
      <c r="C129" s="182"/>
      <c r="D129" s="42"/>
      <c r="E129" s="18">
        <v>2.9</v>
      </c>
      <c r="F129" s="18">
        <f t="shared" si="4"/>
        <v>2.9</v>
      </c>
      <c r="G129" s="169"/>
      <c r="H129" s="28"/>
    </row>
    <row r="130" spans="1:8" s="5" customFormat="1" ht="25.5" customHeight="1">
      <c r="A130" s="181" t="s">
        <v>306</v>
      </c>
      <c r="B130" s="109"/>
      <c r="C130" s="182"/>
      <c r="D130" s="42"/>
      <c r="E130" s="18">
        <v>0.7</v>
      </c>
      <c r="F130" s="18">
        <f t="shared" si="4"/>
        <v>0.7</v>
      </c>
      <c r="G130" s="169"/>
      <c r="H130" s="28"/>
    </row>
    <row r="131" spans="1:8" s="5" customFormat="1" ht="28.5" customHeight="1">
      <c r="A131" s="181" t="s">
        <v>464</v>
      </c>
      <c r="B131" s="109"/>
      <c r="C131" s="182"/>
      <c r="D131" s="42"/>
      <c r="E131" s="18">
        <v>1.2</v>
      </c>
      <c r="F131" s="18">
        <f t="shared" si="4"/>
        <v>1.2</v>
      </c>
      <c r="G131" s="169"/>
      <c r="H131" s="28"/>
    </row>
    <row r="132" spans="1:8" s="5" customFormat="1" ht="26.25" customHeight="1">
      <c r="A132" s="181" t="s">
        <v>307</v>
      </c>
      <c r="B132" s="109"/>
      <c r="C132" s="182"/>
      <c r="D132" s="42"/>
      <c r="E132" s="18">
        <v>0.2</v>
      </c>
      <c r="F132" s="18">
        <f t="shared" si="4"/>
        <v>0.2</v>
      </c>
      <c r="G132" s="169"/>
      <c r="H132" s="28"/>
    </row>
    <row r="133" spans="1:8" s="5" customFormat="1" ht="27" customHeight="1">
      <c r="A133" s="181" t="s">
        <v>308</v>
      </c>
      <c r="B133" s="109"/>
      <c r="C133" s="182"/>
      <c r="D133" s="42"/>
      <c r="E133" s="18">
        <v>4.5</v>
      </c>
      <c r="F133" s="18">
        <f t="shared" si="4"/>
        <v>4.5</v>
      </c>
      <c r="G133" s="169"/>
      <c r="H133" s="28"/>
    </row>
    <row r="134" spans="1:8" s="5" customFormat="1" ht="26.25" customHeight="1">
      <c r="A134" s="181" t="s">
        <v>309</v>
      </c>
      <c r="B134" s="109"/>
      <c r="C134" s="182"/>
      <c r="D134" s="42"/>
      <c r="E134" s="18">
        <v>1.2</v>
      </c>
      <c r="F134" s="18">
        <f t="shared" si="4"/>
        <v>1.2</v>
      </c>
      <c r="G134" s="169"/>
      <c r="H134" s="28"/>
    </row>
    <row r="135" spans="1:8" s="5" customFormat="1" ht="26.25" customHeight="1">
      <c r="A135" s="181" t="s">
        <v>310</v>
      </c>
      <c r="B135" s="109"/>
      <c r="C135" s="182"/>
      <c r="D135" s="42"/>
      <c r="E135" s="18">
        <v>0.7</v>
      </c>
      <c r="F135" s="18">
        <f t="shared" si="4"/>
        <v>0.7</v>
      </c>
      <c r="G135" s="169"/>
      <c r="H135" s="28"/>
    </row>
    <row r="136" spans="1:8" s="5" customFormat="1" ht="25.5" customHeight="1">
      <c r="A136" s="181" t="s">
        <v>311</v>
      </c>
      <c r="B136" s="109"/>
      <c r="C136" s="182"/>
      <c r="D136" s="42"/>
      <c r="E136" s="18">
        <v>1</v>
      </c>
      <c r="F136" s="18">
        <f t="shared" si="4"/>
        <v>1</v>
      </c>
      <c r="G136" s="169"/>
      <c r="H136" s="28"/>
    </row>
    <row r="137" spans="1:8" s="5" customFormat="1" ht="28.5" customHeight="1">
      <c r="A137" s="181" t="s">
        <v>312</v>
      </c>
      <c r="B137" s="109"/>
      <c r="C137" s="182"/>
      <c r="D137" s="42"/>
      <c r="E137" s="18">
        <v>14.7</v>
      </c>
      <c r="F137" s="18">
        <f t="shared" si="4"/>
        <v>14.7</v>
      </c>
      <c r="G137" s="169"/>
      <c r="H137" s="28"/>
    </row>
    <row r="138" spans="1:8" s="5" customFormat="1" ht="24.75" customHeight="1">
      <c r="A138" s="180" t="s">
        <v>313</v>
      </c>
      <c r="B138" s="109"/>
      <c r="C138" s="182"/>
      <c r="D138" s="42"/>
      <c r="E138" s="18">
        <v>17.399999999999999</v>
      </c>
      <c r="F138" s="18">
        <f t="shared" si="4"/>
        <v>17.399999999999999</v>
      </c>
      <c r="G138" s="169"/>
      <c r="H138" s="28"/>
    </row>
    <row r="139" spans="1:8" s="5" customFormat="1" ht="27.75" customHeight="1">
      <c r="A139" s="181" t="s">
        <v>314</v>
      </c>
      <c r="B139" s="109"/>
      <c r="C139" s="182"/>
      <c r="D139" s="42"/>
      <c r="E139" s="18">
        <v>18.8</v>
      </c>
      <c r="F139" s="18">
        <f t="shared" ref="F139:F186" si="5">E139-D139</f>
        <v>18.8</v>
      </c>
      <c r="G139" s="169"/>
      <c r="H139" s="28"/>
    </row>
    <row r="140" spans="1:8" s="5" customFormat="1" ht="27.75" customHeight="1">
      <c r="A140" s="181" t="s">
        <v>315</v>
      </c>
      <c r="B140" s="109"/>
      <c r="C140" s="182"/>
      <c r="D140" s="42"/>
      <c r="E140" s="18">
        <v>6.9</v>
      </c>
      <c r="F140" s="18">
        <f t="shared" si="5"/>
        <v>6.9</v>
      </c>
      <c r="G140" s="169"/>
      <c r="H140" s="28"/>
    </row>
    <row r="141" spans="1:8" s="5" customFormat="1" ht="39.75" customHeight="1">
      <c r="A141" s="180" t="s">
        <v>465</v>
      </c>
      <c r="B141" s="109"/>
      <c r="C141" s="182"/>
      <c r="D141" s="42"/>
      <c r="E141" s="18">
        <v>29.8</v>
      </c>
      <c r="F141" s="18">
        <f t="shared" si="5"/>
        <v>29.8</v>
      </c>
      <c r="G141" s="169"/>
      <c r="H141" s="28"/>
    </row>
    <row r="142" spans="1:8" s="5" customFormat="1" ht="29.25" customHeight="1">
      <c r="A142" s="23" t="s">
        <v>427</v>
      </c>
      <c r="B142" s="109"/>
      <c r="C142" s="182"/>
      <c r="D142" s="42"/>
      <c r="E142" s="18">
        <v>12.4</v>
      </c>
      <c r="F142" s="18">
        <f t="shared" si="5"/>
        <v>12.4</v>
      </c>
      <c r="G142" s="169"/>
      <c r="H142" s="28"/>
    </row>
    <row r="143" spans="1:8" s="5" customFormat="1" ht="39.75" customHeight="1">
      <c r="A143" s="180" t="s">
        <v>428</v>
      </c>
      <c r="B143" s="109"/>
      <c r="C143" s="182"/>
      <c r="D143" s="42"/>
      <c r="E143" s="18">
        <v>5.2</v>
      </c>
      <c r="F143" s="18">
        <f t="shared" si="5"/>
        <v>5.2</v>
      </c>
      <c r="G143" s="169"/>
      <c r="H143" s="28"/>
    </row>
    <row r="144" spans="1:8" s="5" customFormat="1" ht="29.25" customHeight="1">
      <c r="A144" s="23" t="s">
        <v>429</v>
      </c>
      <c r="B144" s="109"/>
      <c r="C144" s="182"/>
      <c r="D144" s="42"/>
      <c r="E144" s="18">
        <v>12.4</v>
      </c>
      <c r="F144" s="18">
        <f t="shared" si="5"/>
        <v>12.4</v>
      </c>
      <c r="G144" s="169"/>
      <c r="H144" s="28"/>
    </row>
    <row r="145" spans="1:8" s="5" customFormat="1" ht="44.25" customHeight="1">
      <c r="A145" s="180" t="s">
        <v>430</v>
      </c>
      <c r="B145" s="109"/>
      <c r="C145" s="182"/>
      <c r="D145" s="42"/>
      <c r="E145" s="18">
        <v>5.2</v>
      </c>
      <c r="F145" s="18">
        <f t="shared" si="5"/>
        <v>5.2</v>
      </c>
      <c r="G145" s="169"/>
      <c r="H145" s="28"/>
    </row>
    <row r="146" spans="1:8" s="5" customFormat="1" ht="30" customHeight="1">
      <c r="A146" s="23" t="s">
        <v>316</v>
      </c>
      <c r="B146" s="109"/>
      <c r="C146" s="182"/>
      <c r="D146" s="42"/>
      <c r="E146" s="18">
        <v>7</v>
      </c>
      <c r="F146" s="18">
        <f t="shared" si="5"/>
        <v>7</v>
      </c>
      <c r="G146" s="169"/>
      <c r="H146" s="28"/>
    </row>
    <row r="147" spans="1:8" s="5" customFormat="1" ht="39.75" customHeight="1">
      <c r="A147" s="180" t="s">
        <v>317</v>
      </c>
      <c r="B147" s="109"/>
      <c r="C147" s="182"/>
      <c r="D147" s="42"/>
      <c r="E147" s="18">
        <v>2.9</v>
      </c>
      <c r="F147" s="18">
        <f t="shared" si="5"/>
        <v>2.9</v>
      </c>
      <c r="G147" s="169"/>
      <c r="H147" s="28"/>
    </row>
    <row r="148" spans="1:8" s="5" customFormat="1" ht="38.25" customHeight="1">
      <c r="A148" s="180" t="s">
        <v>318</v>
      </c>
      <c r="B148" s="109"/>
      <c r="C148" s="182"/>
      <c r="D148" s="42"/>
      <c r="E148" s="18">
        <v>11</v>
      </c>
      <c r="F148" s="18">
        <f t="shared" si="5"/>
        <v>11</v>
      </c>
      <c r="G148" s="169"/>
      <c r="H148" s="28"/>
    </row>
    <row r="149" spans="1:8" s="5" customFormat="1" ht="25.5" customHeight="1">
      <c r="A149" s="181" t="s">
        <v>431</v>
      </c>
      <c r="B149" s="109"/>
      <c r="C149" s="182"/>
      <c r="D149" s="42"/>
      <c r="E149" s="18">
        <v>1.6</v>
      </c>
      <c r="F149" s="18">
        <f t="shared" si="5"/>
        <v>1.6</v>
      </c>
      <c r="G149" s="169"/>
      <c r="H149" s="28"/>
    </row>
    <row r="150" spans="1:8" s="5" customFormat="1" ht="26.25" customHeight="1">
      <c r="A150" s="181" t="s">
        <v>319</v>
      </c>
      <c r="B150" s="109"/>
      <c r="C150" s="182"/>
      <c r="D150" s="42"/>
      <c r="E150" s="18">
        <v>4.8</v>
      </c>
      <c r="F150" s="18">
        <f t="shared" si="5"/>
        <v>4.8</v>
      </c>
      <c r="G150" s="169"/>
      <c r="H150" s="28"/>
    </row>
    <row r="151" spans="1:8" s="5" customFormat="1" ht="23.25" customHeight="1">
      <c r="A151" s="181" t="s">
        <v>466</v>
      </c>
      <c r="B151" s="109"/>
      <c r="C151" s="182"/>
      <c r="D151" s="42"/>
      <c r="E151" s="18">
        <v>14.3</v>
      </c>
      <c r="F151" s="18">
        <f t="shared" si="5"/>
        <v>14.3</v>
      </c>
      <c r="G151" s="169"/>
      <c r="H151" s="28"/>
    </row>
    <row r="152" spans="1:8" s="5" customFormat="1" ht="26.25" customHeight="1">
      <c r="A152" s="181" t="s">
        <v>432</v>
      </c>
      <c r="B152" s="109"/>
      <c r="C152" s="182"/>
      <c r="D152" s="42"/>
      <c r="E152" s="18">
        <v>1.4</v>
      </c>
      <c r="F152" s="18">
        <f t="shared" si="5"/>
        <v>1.4</v>
      </c>
      <c r="G152" s="169"/>
      <c r="H152" s="28"/>
    </row>
    <row r="153" spans="1:8" s="5" customFormat="1" ht="24.75" customHeight="1">
      <c r="A153" s="181" t="s">
        <v>467</v>
      </c>
      <c r="B153" s="109"/>
      <c r="C153" s="182"/>
      <c r="D153" s="42"/>
      <c r="E153" s="18">
        <v>99</v>
      </c>
      <c r="F153" s="18">
        <f t="shared" si="5"/>
        <v>99</v>
      </c>
      <c r="G153" s="169"/>
      <c r="H153" s="28"/>
    </row>
    <row r="154" spans="1:8" s="5" customFormat="1" ht="25.5" customHeight="1">
      <c r="A154" s="180" t="s">
        <v>468</v>
      </c>
      <c r="B154" s="109"/>
      <c r="C154" s="182"/>
      <c r="D154" s="42"/>
      <c r="E154" s="18">
        <v>3.4</v>
      </c>
      <c r="F154" s="18">
        <f t="shared" si="5"/>
        <v>3.4</v>
      </c>
      <c r="G154" s="169"/>
      <c r="H154" s="28"/>
    </row>
    <row r="155" spans="1:8" s="5" customFormat="1" ht="24.75" customHeight="1">
      <c r="A155" s="180" t="s">
        <v>469</v>
      </c>
      <c r="B155" s="109"/>
      <c r="C155" s="182"/>
      <c r="D155" s="42"/>
      <c r="E155" s="18">
        <v>2.2000000000000002</v>
      </c>
      <c r="F155" s="18">
        <f t="shared" si="5"/>
        <v>2.2000000000000002</v>
      </c>
      <c r="G155" s="169"/>
      <c r="H155" s="28"/>
    </row>
    <row r="156" spans="1:8" s="5" customFormat="1" ht="24.75" customHeight="1">
      <c r="A156" s="181" t="s">
        <v>470</v>
      </c>
      <c r="B156" s="109"/>
      <c r="C156" s="182"/>
      <c r="D156" s="42"/>
      <c r="E156" s="18">
        <v>3.6</v>
      </c>
      <c r="F156" s="18">
        <f t="shared" si="5"/>
        <v>3.6</v>
      </c>
      <c r="G156" s="169"/>
      <c r="H156" s="28"/>
    </row>
    <row r="157" spans="1:8" s="5" customFormat="1" ht="24.75" customHeight="1">
      <c r="A157" s="181" t="s">
        <v>471</v>
      </c>
      <c r="B157" s="109"/>
      <c r="C157" s="182"/>
      <c r="D157" s="42"/>
      <c r="E157" s="18">
        <v>0.3</v>
      </c>
      <c r="F157" s="18">
        <f t="shared" si="5"/>
        <v>0.3</v>
      </c>
      <c r="G157" s="169"/>
      <c r="H157" s="28"/>
    </row>
    <row r="158" spans="1:8" s="5" customFormat="1" ht="26.25" customHeight="1">
      <c r="A158" s="181" t="s">
        <v>472</v>
      </c>
      <c r="B158" s="109"/>
      <c r="C158" s="182"/>
      <c r="D158" s="42"/>
      <c r="E158" s="18">
        <v>1</v>
      </c>
      <c r="F158" s="18">
        <f t="shared" si="5"/>
        <v>1</v>
      </c>
      <c r="G158" s="169"/>
      <c r="H158" s="28"/>
    </row>
    <row r="159" spans="1:8" s="5" customFormat="1" ht="24.75" customHeight="1">
      <c r="A159" s="181" t="s">
        <v>473</v>
      </c>
      <c r="B159" s="109"/>
      <c r="C159" s="182"/>
      <c r="D159" s="42"/>
      <c r="E159" s="18">
        <v>1.3</v>
      </c>
      <c r="F159" s="18">
        <f t="shared" si="5"/>
        <v>1.3</v>
      </c>
      <c r="G159" s="169"/>
      <c r="H159" s="28"/>
    </row>
    <row r="160" spans="1:8" s="5" customFormat="1" ht="23.25" customHeight="1">
      <c r="A160" s="181" t="s">
        <v>433</v>
      </c>
      <c r="B160" s="109"/>
      <c r="C160" s="182"/>
      <c r="D160" s="42"/>
      <c r="E160" s="18">
        <v>1.2</v>
      </c>
      <c r="F160" s="18">
        <f t="shared" si="5"/>
        <v>1.2</v>
      </c>
      <c r="G160" s="169"/>
      <c r="H160" s="28"/>
    </row>
    <row r="161" spans="1:8" s="5" customFormat="1" ht="25.5" customHeight="1">
      <c r="A161" s="181" t="s">
        <v>434</v>
      </c>
      <c r="B161" s="109"/>
      <c r="C161" s="182"/>
      <c r="D161" s="42"/>
      <c r="E161" s="18">
        <v>5.2</v>
      </c>
      <c r="F161" s="18">
        <f t="shared" si="5"/>
        <v>5.2</v>
      </c>
      <c r="G161" s="169"/>
      <c r="H161" s="28"/>
    </row>
    <row r="162" spans="1:8" s="5" customFormat="1" ht="24.75" customHeight="1">
      <c r="A162" s="181" t="s">
        <v>435</v>
      </c>
      <c r="B162" s="109"/>
      <c r="C162" s="182"/>
      <c r="D162" s="42"/>
      <c r="E162" s="18">
        <v>4</v>
      </c>
      <c r="F162" s="18">
        <f t="shared" si="5"/>
        <v>4</v>
      </c>
      <c r="G162" s="169"/>
      <c r="H162" s="28"/>
    </row>
    <row r="163" spans="1:8" s="5" customFormat="1" ht="27.75" customHeight="1">
      <c r="A163" s="181" t="s">
        <v>436</v>
      </c>
      <c r="B163" s="109"/>
      <c r="C163" s="182"/>
      <c r="D163" s="42"/>
      <c r="E163" s="18">
        <v>5.3</v>
      </c>
      <c r="F163" s="18">
        <f t="shared" si="5"/>
        <v>5.3</v>
      </c>
      <c r="G163" s="169"/>
      <c r="H163" s="28"/>
    </row>
    <row r="164" spans="1:8" s="5" customFormat="1" ht="24.75" customHeight="1">
      <c r="A164" s="181" t="s">
        <v>437</v>
      </c>
      <c r="B164" s="109"/>
      <c r="C164" s="182"/>
      <c r="D164" s="42"/>
      <c r="E164" s="18">
        <v>3.4</v>
      </c>
      <c r="F164" s="18">
        <f t="shared" si="5"/>
        <v>3.4</v>
      </c>
      <c r="G164" s="169"/>
      <c r="H164" s="28"/>
    </row>
    <row r="165" spans="1:8" s="5" customFormat="1" ht="26.25" customHeight="1">
      <c r="A165" s="181" t="s">
        <v>438</v>
      </c>
      <c r="B165" s="109"/>
      <c r="C165" s="182"/>
      <c r="D165" s="42"/>
      <c r="E165" s="18">
        <v>2.5</v>
      </c>
      <c r="F165" s="18">
        <f t="shared" si="5"/>
        <v>2.5</v>
      </c>
      <c r="G165" s="169"/>
      <c r="H165" s="28"/>
    </row>
    <row r="166" spans="1:8" s="5" customFormat="1" ht="26.25" customHeight="1">
      <c r="A166" s="181" t="s">
        <v>439</v>
      </c>
      <c r="B166" s="109"/>
      <c r="C166" s="182"/>
      <c r="D166" s="42"/>
      <c r="E166" s="18">
        <v>18.399999999999999</v>
      </c>
      <c r="F166" s="18">
        <f t="shared" si="5"/>
        <v>18.399999999999999</v>
      </c>
      <c r="G166" s="169"/>
      <c r="H166" s="28"/>
    </row>
    <row r="167" spans="1:8" s="5" customFormat="1" ht="25.5" customHeight="1">
      <c r="A167" s="181" t="s">
        <v>440</v>
      </c>
      <c r="B167" s="109"/>
      <c r="C167" s="182"/>
      <c r="D167" s="42"/>
      <c r="E167" s="18">
        <v>1.4</v>
      </c>
      <c r="F167" s="18">
        <f t="shared" si="5"/>
        <v>1.4</v>
      </c>
      <c r="G167" s="169"/>
      <c r="H167" s="28"/>
    </row>
    <row r="168" spans="1:8" s="5" customFormat="1" ht="26.25" customHeight="1">
      <c r="A168" s="181" t="s">
        <v>441</v>
      </c>
      <c r="B168" s="109"/>
      <c r="C168" s="182"/>
      <c r="D168" s="42"/>
      <c r="E168" s="18">
        <v>13.2</v>
      </c>
      <c r="F168" s="18">
        <f t="shared" si="5"/>
        <v>13.2</v>
      </c>
      <c r="G168" s="169"/>
      <c r="H168" s="28"/>
    </row>
    <row r="169" spans="1:8" s="5" customFormat="1" ht="27.75" customHeight="1">
      <c r="A169" s="180" t="s">
        <v>442</v>
      </c>
      <c r="B169" s="109"/>
      <c r="C169" s="182"/>
      <c r="D169" s="42"/>
      <c r="E169" s="18">
        <v>13.4</v>
      </c>
      <c r="F169" s="18">
        <f t="shared" si="5"/>
        <v>13.4</v>
      </c>
      <c r="G169" s="169"/>
      <c r="H169" s="28"/>
    </row>
    <row r="170" spans="1:8" s="5" customFormat="1" ht="25.5" customHeight="1">
      <c r="A170" s="181" t="s">
        <v>443</v>
      </c>
      <c r="B170" s="109"/>
      <c r="C170" s="182"/>
      <c r="D170" s="42"/>
      <c r="E170" s="18">
        <v>16</v>
      </c>
      <c r="F170" s="18">
        <f t="shared" si="5"/>
        <v>16</v>
      </c>
      <c r="G170" s="169"/>
      <c r="H170" s="28"/>
    </row>
    <row r="171" spans="1:8" s="5" customFormat="1" ht="27.75" customHeight="1">
      <c r="A171" s="181" t="s">
        <v>474</v>
      </c>
      <c r="B171" s="109"/>
      <c r="C171" s="182"/>
      <c r="D171" s="42"/>
      <c r="E171" s="18">
        <v>287.60000000000002</v>
      </c>
      <c r="F171" s="18">
        <f t="shared" si="5"/>
        <v>287.60000000000002</v>
      </c>
      <c r="G171" s="169"/>
      <c r="H171" s="28"/>
    </row>
    <row r="172" spans="1:8" s="5" customFormat="1" ht="27.75" customHeight="1">
      <c r="A172" s="181" t="s">
        <v>475</v>
      </c>
      <c r="B172" s="109"/>
      <c r="C172" s="182"/>
      <c r="D172" s="42"/>
      <c r="E172" s="18">
        <v>185.5</v>
      </c>
      <c r="F172" s="18">
        <f t="shared" si="5"/>
        <v>185.5</v>
      </c>
      <c r="G172" s="169"/>
      <c r="H172" s="28"/>
    </row>
    <row r="173" spans="1:8" s="5" customFormat="1" ht="38.25" customHeight="1">
      <c r="A173" s="180" t="s">
        <v>476</v>
      </c>
      <c r="B173" s="109"/>
      <c r="C173" s="182"/>
      <c r="D173" s="42"/>
      <c r="E173" s="18">
        <v>144.30000000000001</v>
      </c>
      <c r="F173" s="18">
        <f t="shared" si="5"/>
        <v>144.30000000000001</v>
      </c>
      <c r="G173" s="169"/>
      <c r="H173" s="28"/>
    </row>
    <row r="174" spans="1:8" s="5" customFormat="1" ht="39.75" customHeight="1">
      <c r="A174" s="180" t="s">
        <v>477</v>
      </c>
      <c r="B174" s="109"/>
      <c r="C174" s="182"/>
      <c r="D174" s="42"/>
      <c r="E174" s="18">
        <v>226.1</v>
      </c>
      <c r="F174" s="18">
        <f t="shared" si="5"/>
        <v>226.1</v>
      </c>
      <c r="G174" s="169"/>
      <c r="H174" s="28"/>
    </row>
    <row r="175" spans="1:8" s="5" customFormat="1" ht="38.25" customHeight="1">
      <c r="A175" s="180" t="s">
        <v>478</v>
      </c>
      <c r="B175" s="109"/>
      <c r="C175" s="182"/>
      <c r="D175" s="42"/>
      <c r="E175" s="18">
        <v>51</v>
      </c>
      <c r="F175" s="18">
        <f t="shared" si="5"/>
        <v>51</v>
      </c>
      <c r="G175" s="169"/>
      <c r="H175" s="28"/>
    </row>
    <row r="176" spans="1:8" s="5" customFormat="1" ht="27" customHeight="1">
      <c r="A176" s="180" t="s">
        <v>479</v>
      </c>
      <c r="B176" s="109"/>
      <c r="C176" s="182"/>
      <c r="D176" s="42"/>
      <c r="E176" s="18">
        <v>44.4</v>
      </c>
      <c r="F176" s="18">
        <f t="shared" si="5"/>
        <v>44.4</v>
      </c>
      <c r="G176" s="169"/>
      <c r="H176" s="28"/>
    </row>
    <row r="177" spans="1:8" s="5" customFormat="1" ht="27.75" customHeight="1">
      <c r="A177" s="181" t="s">
        <v>444</v>
      </c>
      <c r="B177" s="109"/>
      <c r="C177" s="182"/>
      <c r="D177" s="42"/>
      <c r="E177" s="18">
        <v>8.1</v>
      </c>
      <c r="F177" s="18">
        <f t="shared" si="5"/>
        <v>8.1</v>
      </c>
      <c r="G177" s="169"/>
      <c r="H177" s="28"/>
    </row>
    <row r="178" spans="1:8" s="5" customFormat="1" ht="24.75" customHeight="1">
      <c r="A178" s="181" t="s">
        <v>445</v>
      </c>
      <c r="B178" s="109"/>
      <c r="C178" s="182"/>
      <c r="D178" s="42"/>
      <c r="E178" s="18">
        <v>2</v>
      </c>
      <c r="F178" s="18">
        <f t="shared" si="5"/>
        <v>2</v>
      </c>
      <c r="G178" s="169"/>
      <c r="H178" s="28"/>
    </row>
    <row r="179" spans="1:8" s="5" customFormat="1" ht="67.5" customHeight="1">
      <c r="A179" s="74" t="s">
        <v>63</v>
      </c>
      <c r="B179" s="109">
        <v>4050</v>
      </c>
      <c r="C179" s="182"/>
      <c r="D179" s="42">
        <f>D180+D181</f>
        <v>2589.1999999999998</v>
      </c>
      <c r="E179" s="42">
        <f>E180+E181</f>
        <v>2562.8000000000002</v>
      </c>
      <c r="F179" s="18">
        <f t="shared" si="5"/>
        <v>-26.399999999999636</v>
      </c>
      <c r="G179" s="169"/>
      <c r="H179" s="28"/>
    </row>
    <row r="180" spans="1:8" s="5" customFormat="1" ht="86.25" customHeight="1">
      <c r="A180" s="192" t="s">
        <v>338</v>
      </c>
      <c r="B180" s="189"/>
      <c r="C180" s="119"/>
      <c r="D180" s="119">
        <v>2589.1999999999998</v>
      </c>
      <c r="E180" s="119">
        <f>1565.9+913</f>
        <v>2478.9</v>
      </c>
      <c r="F180" s="18">
        <f t="shared" si="5"/>
        <v>-110.29999999999973</v>
      </c>
      <c r="G180" s="169"/>
      <c r="H180" s="28"/>
    </row>
    <row r="181" spans="1:8" s="5" customFormat="1" ht="156" customHeight="1">
      <c r="A181" s="193" t="s">
        <v>336</v>
      </c>
      <c r="B181" s="189"/>
      <c r="C181" s="119"/>
      <c r="D181" s="119"/>
      <c r="E181" s="119">
        <f>83.9</f>
        <v>83.9</v>
      </c>
      <c r="F181" s="18">
        <f t="shared" si="5"/>
        <v>83.9</v>
      </c>
      <c r="G181" s="169"/>
      <c r="H181" s="28"/>
    </row>
    <row r="182" spans="1:8" ht="27.75" customHeight="1">
      <c r="A182" s="74" t="s">
        <v>39</v>
      </c>
      <c r="B182" s="70">
        <v>4060</v>
      </c>
      <c r="C182" s="42">
        <f>SUM(C183:C186)</f>
        <v>1403.3</v>
      </c>
      <c r="D182" s="42">
        <f t="shared" ref="D182:E182" si="6">SUM(D183:D186)</f>
        <v>0</v>
      </c>
      <c r="E182" s="42">
        <f t="shared" si="6"/>
        <v>12611.7</v>
      </c>
      <c r="F182" s="14">
        <f t="shared" si="5"/>
        <v>12611.7</v>
      </c>
      <c r="G182" s="179"/>
    </row>
    <row r="183" spans="1:8" ht="83.25" customHeight="1">
      <c r="A183" s="81" t="s">
        <v>218</v>
      </c>
      <c r="B183" s="12"/>
      <c r="C183" s="18">
        <f>1399.3+4</f>
        <v>1403.3</v>
      </c>
      <c r="D183" s="18"/>
      <c r="E183" s="18">
        <f>4495.7+2376.4</f>
        <v>6872.1</v>
      </c>
      <c r="F183" s="18">
        <f t="shared" si="5"/>
        <v>6872.1</v>
      </c>
      <c r="G183" s="169"/>
    </row>
    <row r="184" spans="1:8" ht="108" customHeight="1">
      <c r="A184" s="81" t="s">
        <v>271</v>
      </c>
      <c r="B184" s="12"/>
      <c r="C184" s="18"/>
      <c r="D184" s="18"/>
      <c r="E184" s="18">
        <f>4396.5+295.6</f>
        <v>4692.1000000000004</v>
      </c>
      <c r="F184" s="18">
        <f t="shared" si="5"/>
        <v>4692.1000000000004</v>
      </c>
      <c r="G184" s="169"/>
    </row>
    <row r="185" spans="1:8" ht="118.5" customHeight="1">
      <c r="A185" s="218" t="s">
        <v>483</v>
      </c>
      <c r="B185" s="12"/>
      <c r="C185" s="18"/>
      <c r="D185" s="18"/>
      <c r="E185" s="18">
        <v>350</v>
      </c>
      <c r="F185" s="18">
        <f t="shared" si="5"/>
        <v>350</v>
      </c>
      <c r="G185" s="169"/>
    </row>
    <row r="186" spans="1:8" ht="197.25" customHeight="1">
      <c r="A186" s="81" t="s">
        <v>337</v>
      </c>
      <c r="B186" s="12"/>
      <c r="C186" s="18"/>
      <c r="D186" s="18"/>
      <c r="E186" s="18">
        <f>68+629.5</f>
        <v>697.5</v>
      </c>
      <c r="F186" s="18">
        <f t="shared" si="5"/>
        <v>697.5</v>
      </c>
      <c r="G186" s="169"/>
    </row>
    <row r="187" spans="1:8" ht="42" customHeight="1">
      <c r="A187" s="82" t="s">
        <v>211</v>
      </c>
      <c r="B187" s="30"/>
      <c r="C187" s="246"/>
      <c r="D187" s="246"/>
      <c r="E187" s="240" t="s">
        <v>184</v>
      </c>
      <c r="F187" s="240"/>
      <c r="G187" s="240"/>
      <c r="H187" s="31"/>
    </row>
    <row r="188" spans="1:8">
      <c r="A188" s="173" t="s">
        <v>60</v>
      </c>
      <c r="B188" s="2"/>
      <c r="C188" s="244" t="s">
        <v>66</v>
      </c>
      <c r="D188" s="244"/>
      <c r="E188" s="174"/>
      <c r="F188" s="2" t="s">
        <v>17</v>
      </c>
    </row>
    <row r="189" spans="1:8">
      <c r="A189" s="7"/>
      <c r="C189" s="110"/>
      <c r="D189" s="6"/>
      <c r="E189" s="6"/>
      <c r="F189" s="6"/>
    </row>
    <row r="190" spans="1:8">
      <c r="A190" s="7"/>
      <c r="C190" s="110"/>
      <c r="D190" s="6"/>
      <c r="E190" s="6"/>
      <c r="F190" s="6"/>
    </row>
    <row r="191" spans="1:8">
      <c r="A191" s="7"/>
      <c r="C191" s="110"/>
      <c r="D191" s="6"/>
      <c r="E191" s="6"/>
      <c r="F191" s="6"/>
    </row>
    <row r="192" spans="1:8">
      <c r="A192" s="7"/>
      <c r="C192" s="110"/>
      <c r="D192" s="6"/>
      <c r="E192" s="6"/>
      <c r="F192" s="6"/>
    </row>
    <row r="193" spans="1:6">
      <c r="A193" s="7"/>
      <c r="C193" s="110"/>
      <c r="D193" s="6"/>
      <c r="E193" s="6"/>
      <c r="F193" s="6"/>
    </row>
    <row r="194" spans="1:6">
      <c r="A194" s="7"/>
      <c r="C194" s="110"/>
      <c r="D194" s="6"/>
      <c r="E194" s="6"/>
      <c r="F194" s="6"/>
    </row>
    <row r="195" spans="1:6">
      <c r="A195" s="7"/>
      <c r="C195" s="110"/>
      <c r="D195" s="6"/>
      <c r="E195" s="6"/>
      <c r="F195" s="6"/>
    </row>
    <row r="196" spans="1:6">
      <c r="A196" s="7"/>
      <c r="C196" s="110"/>
      <c r="D196" s="6"/>
      <c r="E196" s="6"/>
      <c r="F196" s="6"/>
    </row>
    <row r="197" spans="1:6">
      <c r="A197" s="7"/>
      <c r="C197" s="110"/>
      <c r="D197" s="6"/>
      <c r="E197" s="6"/>
      <c r="F197" s="6"/>
    </row>
    <row r="198" spans="1:6">
      <c r="A198" s="7"/>
      <c r="C198" s="110"/>
      <c r="D198" s="6"/>
      <c r="E198" s="6"/>
      <c r="F198" s="6"/>
    </row>
    <row r="199" spans="1:6">
      <c r="A199" s="7"/>
      <c r="C199" s="110"/>
      <c r="D199" s="6"/>
      <c r="E199" s="6"/>
      <c r="F199" s="6"/>
    </row>
    <row r="200" spans="1:6">
      <c r="A200" s="7"/>
      <c r="C200" s="110"/>
      <c r="D200" s="6"/>
      <c r="E200" s="6"/>
      <c r="F200" s="6"/>
    </row>
    <row r="201" spans="1:6">
      <c r="A201" s="7"/>
      <c r="C201" s="110"/>
      <c r="D201" s="6"/>
      <c r="E201" s="6"/>
      <c r="F201" s="6"/>
    </row>
    <row r="202" spans="1:6">
      <c r="A202" s="7"/>
      <c r="C202" s="110"/>
      <c r="D202" s="6"/>
      <c r="E202" s="6"/>
      <c r="F202" s="6"/>
    </row>
    <row r="203" spans="1:6">
      <c r="A203" s="7"/>
      <c r="C203" s="110"/>
      <c r="D203" s="6"/>
      <c r="E203" s="6"/>
      <c r="F203" s="6"/>
    </row>
    <row r="204" spans="1:6">
      <c r="A204" s="7"/>
      <c r="C204" s="110"/>
      <c r="D204" s="6"/>
      <c r="E204" s="6"/>
      <c r="F204" s="6"/>
    </row>
    <row r="205" spans="1:6">
      <c r="A205" s="7"/>
      <c r="C205" s="110"/>
      <c r="D205" s="6"/>
      <c r="E205" s="6"/>
      <c r="F205" s="6"/>
    </row>
    <row r="206" spans="1:6">
      <c r="A206" s="7"/>
      <c r="C206" s="110"/>
      <c r="D206" s="6"/>
      <c r="E206" s="6"/>
      <c r="F206" s="6"/>
    </row>
    <row r="207" spans="1:6">
      <c r="A207" s="7"/>
      <c r="C207" s="110"/>
      <c r="D207" s="6"/>
      <c r="E207" s="6"/>
      <c r="F207" s="6"/>
    </row>
    <row r="208" spans="1:6">
      <c r="A208" s="7"/>
      <c r="C208" s="110"/>
      <c r="D208" s="6"/>
      <c r="E208" s="6"/>
      <c r="F208" s="6"/>
    </row>
    <row r="209" spans="1:6">
      <c r="A209" s="7"/>
      <c r="C209" s="110"/>
      <c r="D209" s="6"/>
      <c r="E209" s="6"/>
      <c r="F209" s="6"/>
    </row>
    <row r="210" spans="1:6">
      <c r="A210" s="7"/>
      <c r="C210" s="110"/>
      <c r="D210" s="6"/>
      <c r="E210" s="6"/>
      <c r="F210" s="6"/>
    </row>
    <row r="211" spans="1:6">
      <c r="A211" s="7"/>
      <c r="C211" s="110"/>
      <c r="D211" s="6"/>
      <c r="E211" s="6"/>
      <c r="F211" s="6"/>
    </row>
    <row r="212" spans="1:6">
      <c r="A212" s="7"/>
      <c r="C212" s="110"/>
      <c r="D212" s="6"/>
      <c r="E212" s="6"/>
      <c r="F212" s="6"/>
    </row>
    <row r="213" spans="1:6">
      <c r="A213" s="7"/>
      <c r="C213" s="110"/>
      <c r="D213" s="6"/>
      <c r="E213" s="6"/>
      <c r="F213" s="6"/>
    </row>
    <row r="214" spans="1:6">
      <c r="A214" s="7"/>
      <c r="C214" s="110"/>
      <c r="D214" s="6"/>
      <c r="E214" s="6"/>
      <c r="F214" s="6"/>
    </row>
    <row r="215" spans="1:6">
      <c r="A215" s="7"/>
      <c r="C215" s="110"/>
      <c r="D215" s="6"/>
      <c r="E215" s="6"/>
      <c r="F215" s="6"/>
    </row>
    <row r="216" spans="1:6">
      <c r="A216" s="7"/>
      <c r="C216" s="110"/>
      <c r="D216" s="6"/>
      <c r="E216" s="6"/>
      <c r="F216" s="6"/>
    </row>
    <row r="217" spans="1:6">
      <c r="A217" s="7"/>
      <c r="C217" s="110"/>
      <c r="D217" s="6"/>
      <c r="E217" s="6"/>
      <c r="F217" s="6"/>
    </row>
    <row r="218" spans="1:6">
      <c r="A218" s="7"/>
      <c r="C218" s="110"/>
      <c r="D218" s="6"/>
      <c r="E218" s="6"/>
      <c r="F218" s="6"/>
    </row>
    <row r="219" spans="1:6">
      <c r="A219" s="7"/>
      <c r="C219" s="110"/>
      <c r="D219" s="6"/>
      <c r="E219" s="6"/>
      <c r="F219" s="6"/>
    </row>
    <row r="220" spans="1:6">
      <c r="A220" s="7"/>
      <c r="C220" s="110"/>
      <c r="D220" s="6"/>
      <c r="E220" s="6"/>
      <c r="F220" s="6"/>
    </row>
    <row r="221" spans="1:6">
      <c r="A221" s="7"/>
      <c r="C221" s="110"/>
      <c r="D221" s="6"/>
      <c r="E221" s="6"/>
      <c r="F221" s="6"/>
    </row>
    <row r="222" spans="1:6">
      <c r="A222" s="7"/>
      <c r="C222" s="110"/>
      <c r="D222" s="6"/>
      <c r="E222" s="6"/>
      <c r="F222" s="6"/>
    </row>
    <row r="223" spans="1:6">
      <c r="A223" s="7"/>
      <c r="C223" s="110"/>
      <c r="D223" s="6"/>
      <c r="E223" s="6"/>
      <c r="F223" s="6"/>
    </row>
    <row r="224" spans="1:6">
      <c r="A224" s="7"/>
      <c r="C224" s="110"/>
      <c r="D224" s="6"/>
      <c r="E224" s="6"/>
      <c r="F224" s="6"/>
    </row>
    <row r="225" spans="1:6">
      <c r="A225" s="7"/>
      <c r="C225" s="110"/>
      <c r="D225" s="6"/>
      <c r="E225" s="6"/>
      <c r="F225" s="6"/>
    </row>
    <row r="226" spans="1:6">
      <c r="A226" s="7"/>
      <c r="C226" s="110"/>
      <c r="D226" s="6"/>
      <c r="E226" s="6"/>
      <c r="F226" s="6"/>
    </row>
    <row r="227" spans="1:6">
      <c r="A227" s="7"/>
      <c r="C227" s="110"/>
      <c r="D227" s="6"/>
      <c r="E227" s="6"/>
      <c r="F227" s="6"/>
    </row>
    <row r="228" spans="1:6">
      <c r="A228" s="7"/>
      <c r="C228" s="110"/>
      <c r="D228" s="6"/>
      <c r="E228" s="6"/>
      <c r="F228" s="6"/>
    </row>
    <row r="229" spans="1:6">
      <c r="A229" s="7"/>
      <c r="C229" s="110"/>
      <c r="D229" s="6"/>
      <c r="E229" s="6"/>
      <c r="F229" s="6"/>
    </row>
    <row r="230" spans="1:6">
      <c r="A230" s="7"/>
      <c r="C230" s="110"/>
      <c r="D230" s="6"/>
      <c r="E230" s="6"/>
      <c r="F230" s="6"/>
    </row>
    <row r="231" spans="1:6">
      <c r="A231" s="7"/>
      <c r="C231" s="110"/>
      <c r="D231" s="6"/>
      <c r="E231" s="6"/>
      <c r="F231" s="6"/>
    </row>
    <row r="232" spans="1:6">
      <c r="A232" s="7"/>
      <c r="C232" s="110"/>
      <c r="D232" s="6"/>
      <c r="E232" s="6"/>
      <c r="F232" s="6"/>
    </row>
    <row r="233" spans="1:6">
      <c r="A233" s="7"/>
      <c r="C233" s="110"/>
      <c r="D233" s="6"/>
      <c r="E233" s="6"/>
      <c r="F233" s="6"/>
    </row>
    <row r="234" spans="1:6">
      <c r="A234" s="7"/>
      <c r="C234" s="110"/>
      <c r="D234" s="6"/>
      <c r="E234" s="6"/>
      <c r="F234" s="6"/>
    </row>
    <row r="235" spans="1:6">
      <c r="A235" s="7"/>
      <c r="C235" s="110"/>
      <c r="D235" s="6"/>
      <c r="E235" s="6"/>
      <c r="F235" s="6"/>
    </row>
    <row r="236" spans="1:6">
      <c r="A236" s="7"/>
      <c r="C236" s="110"/>
      <c r="D236" s="6"/>
      <c r="E236" s="6"/>
      <c r="F236" s="6"/>
    </row>
    <row r="237" spans="1:6">
      <c r="A237" s="7"/>
      <c r="C237" s="110"/>
      <c r="D237" s="6"/>
      <c r="E237" s="6"/>
      <c r="F237" s="6"/>
    </row>
    <row r="238" spans="1:6">
      <c r="A238" s="7"/>
      <c r="C238" s="110"/>
      <c r="D238" s="6"/>
      <c r="E238" s="6"/>
      <c r="F238" s="6"/>
    </row>
    <row r="239" spans="1:6">
      <c r="A239" s="7"/>
      <c r="C239" s="110"/>
      <c r="D239" s="6"/>
      <c r="E239" s="6"/>
      <c r="F239" s="6"/>
    </row>
    <row r="240" spans="1:6">
      <c r="A240" s="7"/>
      <c r="C240" s="110"/>
      <c r="D240" s="6"/>
      <c r="E240" s="6"/>
      <c r="F240" s="6"/>
    </row>
    <row r="241" spans="1:6">
      <c r="A241" s="7"/>
      <c r="C241" s="110"/>
      <c r="D241" s="6"/>
      <c r="E241" s="6"/>
      <c r="F241" s="6"/>
    </row>
    <row r="242" spans="1:6">
      <c r="A242" s="7"/>
      <c r="C242" s="110"/>
      <c r="D242" s="6"/>
      <c r="E242" s="6"/>
      <c r="F242" s="6"/>
    </row>
    <row r="243" spans="1:6">
      <c r="A243" s="7"/>
    </row>
    <row r="244" spans="1:6">
      <c r="A244" s="8"/>
    </row>
    <row r="245" spans="1:6">
      <c r="A245" s="8"/>
    </row>
    <row r="246" spans="1:6">
      <c r="A246" s="8"/>
    </row>
    <row r="247" spans="1:6">
      <c r="A247" s="8"/>
    </row>
    <row r="248" spans="1:6">
      <c r="A248" s="8"/>
    </row>
    <row r="249" spans="1:6">
      <c r="A249" s="8"/>
    </row>
    <row r="250" spans="1:6">
      <c r="A250" s="8"/>
    </row>
    <row r="251" spans="1:6">
      <c r="A251" s="8"/>
    </row>
    <row r="252" spans="1:6">
      <c r="A252" s="8"/>
    </row>
    <row r="253" spans="1:6">
      <c r="A253" s="8"/>
    </row>
    <row r="254" spans="1:6">
      <c r="A254" s="8"/>
    </row>
    <row r="255" spans="1:6">
      <c r="A255" s="8"/>
    </row>
    <row r="256" spans="1:6">
      <c r="A256" s="8"/>
    </row>
    <row r="257" spans="1:1">
      <c r="A257" s="8"/>
    </row>
    <row r="258" spans="1:1">
      <c r="A258" s="8"/>
    </row>
    <row r="259" spans="1:1">
      <c r="A259" s="8"/>
    </row>
    <row r="260" spans="1:1">
      <c r="A260" s="8"/>
    </row>
    <row r="261" spans="1:1">
      <c r="A261" s="8"/>
    </row>
    <row r="262" spans="1:1">
      <c r="A262" s="8"/>
    </row>
    <row r="263" spans="1:1">
      <c r="A263" s="8"/>
    </row>
    <row r="264" spans="1:1">
      <c r="A264" s="8"/>
    </row>
    <row r="265" spans="1:1">
      <c r="A265" s="8"/>
    </row>
    <row r="266" spans="1:1">
      <c r="A266" s="8"/>
    </row>
    <row r="267" spans="1:1">
      <c r="A267" s="8"/>
    </row>
    <row r="268" spans="1:1">
      <c r="A268" s="8"/>
    </row>
    <row r="269" spans="1:1">
      <c r="A269" s="8"/>
    </row>
    <row r="270" spans="1:1">
      <c r="A270" s="8"/>
    </row>
    <row r="271" spans="1:1">
      <c r="A271" s="8"/>
    </row>
    <row r="272" spans="1:1">
      <c r="A272" s="8"/>
    </row>
    <row r="273" spans="1:1">
      <c r="A273" s="8"/>
    </row>
    <row r="274" spans="1:1">
      <c r="A274" s="8"/>
    </row>
    <row r="275" spans="1:1">
      <c r="A275" s="8"/>
    </row>
    <row r="276" spans="1:1">
      <c r="A276" s="8"/>
    </row>
    <row r="277" spans="1:1">
      <c r="A277" s="8"/>
    </row>
    <row r="278" spans="1:1">
      <c r="A278" s="8"/>
    </row>
    <row r="279" spans="1:1">
      <c r="A279" s="8"/>
    </row>
    <row r="280" spans="1:1">
      <c r="A280" s="8"/>
    </row>
    <row r="281" spans="1:1">
      <c r="A281" s="8"/>
    </row>
    <row r="282" spans="1:1">
      <c r="A282" s="8"/>
    </row>
    <row r="283" spans="1:1">
      <c r="A283" s="8"/>
    </row>
    <row r="284" spans="1:1">
      <c r="A284" s="8"/>
    </row>
    <row r="285" spans="1:1">
      <c r="A285" s="8"/>
    </row>
    <row r="286" spans="1:1">
      <c r="A286" s="8"/>
    </row>
    <row r="287" spans="1:1">
      <c r="A287" s="8"/>
    </row>
    <row r="288" spans="1:1">
      <c r="A288" s="8"/>
    </row>
    <row r="289" spans="1:1">
      <c r="A289" s="8"/>
    </row>
    <row r="290" spans="1:1">
      <c r="A290" s="8"/>
    </row>
    <row r="291" spans="1:1">
      <c r="A291" s="8"/>
    </row>
    <row r="292" spans="1:1">
      <c r="A292" s="8"/>
    </row>
    <row r="293" spans="1:1">
      <c r="A293" s="8"/>
    </row>
    <row r="294" spans="1:1">
      <c r="A294" s="8"/>
    </row>
    <row r="295" spans="1:1">
      <c r="A295" s="8"/>
    </row>
    <row r="296" spans="1:1">
      <c r="A296" s="8"/>
    </row>
    <row r="297" spans="1:1">
      <c r="A297" s="8"/>
    </row>
    <row r="298" spans="1:1">
      <c r="A298" s="8"/>
    </row>
    <row r="299" spans="1:1">
      <c r="A299" s="8"/>
    </row>
    <row r="300" spans="1:1">
      <c r="A300" s="8"/>
    </row>
    <row r="301" spans="1:1">
      <c r="A301" s="8"/>
    </row>
    <row r="302" spans="1:1">
      <c r="A302" s="8"/>
    </row>
    <row r="303" spans="1:1">
      <c r="A303" s="8"/>
    </row>
    <row r="304" spans="1:1">
      <c r="A304" s="8"/>
    </row>
    <row r="305" spans="1:1">
      <c r="A305" s="8"/>
    </row>
    <row r="306" spans="1:1">
      <c r="A306" s="8"/>
    </row>
    <row r="307" spans="1:1">
      <c r="A307" s="8"/>
    </row>
    <row r="308" spans="1:1">
      <c r="A308" s="8"/>
    </row>
    <row r="309" spans="1:1">
      <c r="A309" s="8"/>
    </row>
    <row r="310" spans="1:1">
      <c r="A310" s="8"/>
    </row>
    <row r="311" spans="1:1">
      <c r="A311" s="8"/>
    </row>
    <row r="312" spans="1:1">
      <c r="A312" s="8"/>
    </row>
    <row r="313" spans="1:1">
      <c r="A313" s="8"/>
    </row>
    <row r="314" spans="1:1">
      <c r="A314" s="8"/>
    </row>
    <row r="315" spans="1:1">
      <c r="A315" s="8"/>
    </row>
    <row r="316" spans="1:1">
      <c r="A316" s="8"/>
    </row>
    <row r="317" spans="1:1">
      <c r="A317" s="8"/>
    </row>
    <row r="318" spans="1:1">
      <c r="A318" s="8"/>
    </row>
    <row r="319" spans="1:1">
      <c r="A319" s="8"/>
    </row>
    <row r="320" spans="1:1">
      <c r="A320" s="8"/>
    </row>
    <row r="321" spans="1:1">
      <c r="A321" s="8"/>
    </row>
    <row r="322" spans="1:1">
      <c r="A322" s="8"/>
    </row>
    <row r="323" spans="1:1">
      <c r="A323" s="8"/>
    </row>
    <row r="324" spans="1:1">
      <c r="A324" s="8"/>
    </row>
    <row r="325" spans="1:1">
      <c r="A325" s="8"/>
    </row>
    <row r="326" spans="1:1">
      <c r="A326" s="8"/>
    </row>
    <row r="327" spans="1:1">
      <c r="A327" s="8"/>
    </row>
    <row r="328" spans="1:1">
      <c r="A328" s="8"/>
    </row>
    <row r="329" spans="1:1">
      <c r="A329" s="8"/>
    </row>
    <row r="330" spans="1:1">
      <c r="A330" s="8"/>
    </row>
    <row r="331" spans="1:1">
      <c r="A331" s="8"/>
    </row>
    <row r="332" spans="1:1">
      <c r="A332" s="8"/>
    </row>
    <row r="333" spans="1:1">
      <c r="A333" s="8"/>
    </row>
    <row r="334" spans="1:1">
      <c r="A334" s="8"/>
    </row>
    <row r="335" spans="1:1">
      <c r="A335" s="8"/>
    </row>
    <row r="336" spans="1:1">
      <c r="A336" s="8"/>
    </row>
    <row r="337" spans="1:1">
      <c r="A337" s="8"/>
    </row>
    <row r="338" spans="1:1">
      <c r="A338" s="8"/>
    </row>
    <row r="339" spans="1:1">
      <c r="A339" s="8"/>
    </row>
    <row r="340" spans="1:1">
      <c r="A340" s="8"/>
    </row>
    <row r="341" spans="1:1">
      <c r="A341" s="8"/>
    </row>
    <row r="342" spans="1:1">
      <c r="A342" s="8"/>
    </row>
    <row r="343" spans="1:1">
      <c r="A343" s="8"/>
    </row>
    <row r="344" spans="1:1">
      <c r="A344" s="8"/>
    </row>
    <row r="345" spans="1:1">
      <c r="A345" s="8"/>
    </row>
    <row r="346" spans="1:1">
      <c r="A346" s="8"/>
    </row>
    <row r="347" spans="1:1">
      <c r="A347" s="8"/>
    </row>
    <row r="348" spans="1:1">
      <c r="A348" s="8"/>
    </row>
    <row r="349" spans="1:1">
      <c r="A349" s="8"/>
    </row>
    <row r="350" spans="1:1">
      <c r="A350" s="8"/>
    </row>
    <row r="351" spans="1:1">
      <c r="A351" s="8"/>
    </row>
    <row r="352" spans="1:1">
      <c r="A352" s="8"/>
    </row>
    <row r="353" spans="1:1">
      <c r="A353" s="8"/>
    </row>
    <row r="354" spans="1:1">
      <c r="A354" s="8"/>
    </row>
    <row r="355" spans="1:1">
      <c r="A355" s="8"/>
    </row>
    <row r="356" spans="1:1">
      <c r="A356" s="8"/>
    </row>
    <row r="357" spans="1:1">
      <c r="A357" s="8"/>
    </row>
    <row r="358" spans="1:1">
      <c r="A358" s="8"/>
    </row>
    <row r="359" spans="1:1">
      <c r="A359" s="8"/>
    </row>
    <row r="360" spans="1:1">
      <c r="A360" s="8"/>
    </row>
    <row r="361" spans="1:1">
      <c r="A361" s="8"/>
    </row>
    <row r="362" spans="1:1">
      <c r="A362" s="8"/>
    </row>
    <row r="363" spans="1:1">
      <c r="A363" s="8"/>
    </row>
    <row r="364" spans="1:1">
      <c r="A364" s="8"/>
    </row>
    <row r="365" spans="1:1">
      <c r="A365" s="8"/>
    </row>
    <row r="366" spans="1:1">
      <c r="A366" s="8"/>
    </row>
    <row r="367" spans="1:1">
      <c r="A367" s="8"/>
    </row>
    <row r="368" spans="1:1">
      <c r="A368" s="8"/>
    </row>
    <row r="369" spans="1:1">
      <c r="A369" s="8"/>
    </row>
    <row r="370" spans="1:1">
      <c r="A370" s="8"/>
    </row>
    <row r="371" spans="1:1">
      <c r="A371" s="8"/>
    </row>
    <row r="372" spans="1:1">
      <c r="A372" s="8"/>
    </row>
    <row r="373" spans="1:1">
      <c r="A373" s="8"/>
    </row>
    <row r="374" spans="1:1">
      <c r="A374" s="8"/>
    </row>
    <row r="375" spans="1:1">
      <c r="A375" s="8"/>
    </row>
    <row r="376" spans="1:1">
      <c r="A376" s="8"/>
    </row>
    <row r="377" spans="1:1">
      <c r="A377" s="8"/>
    </row>
    <row r="378" spans="1:1">
      <c r="A378" s="8"/>
    </row>
    <row r="379" spans="1:1">
      <c r="A379" s="8"/>
    </row>
    <row r="380" spans="1:1">
      <c r="A380" s="8"/>
    </row>
    <row r="381" spans="1:1">
      <c r="A381" s="8"/>
    </row>
    <row r="382" spans="1:1">
      <c r="A382" s="8"/>
    </row>
    <row r="383" spans="1:1">
      <c r="A383" s="8"/>
    </row>
    <row r="384" spans="1:1">
      <c r="A384" s="8"/>
    </row>
    <row r="385" spans="1:1">
      <c r="A385" s="8"/>
    </row>
    <row r="386" spans="1:1">
      <c r="A386" s="8"/>
    </row>
    <row r="387" spans="1:1">
      <c r="A387" s="8"/>
    </row>
    <row r="388" spans="1:1">
      <c r="A388" s="8"/>
    </row>
    <row r="389" spans="1:1">
      <c r="A389" s="8"/>
    </row>
    <row r="390" spans="1:1">
      <c r="A390" s="8"/>
    </row>
    <row r="391" spans="1:1">
      <c r="A391" s="8"/>
    </row>
    <row r="392" spans="1:1">
      <c r="A392" s="8"/>
    </row>
    <row r="393" spans="1:1">
      <c r="A393" s="8"/>
    </row>
    <row r="394" spans="1:1">
      <c r="A394" s="8"/>
    </row>
    <row r="395" spans="1:1">
      <c r="A395" s="8"/>
    </row>
    <row r="396" spans="1:1">
      <c r="A396" s="8"/>
    </row>
    <row r="397" spans="1:1">
      <c r="A397" s="8"/>
    </row>
    <row r="398" spans="1:1">
      <c r="A398" s="8"/>
    </row>
    <row r="399" spans="1:1">
      <c r="A399" s="8"/>
    </row>
    <row r="400" spans="1:1">
      <c r="A400" s="8"/>
    </row>
    <row r="401" spans="1:1">
      <c r="A401" s="8"/>
    </row>
    <row r="402" spans="1:1">
      <c r="A402" s="8"/>
    </row>
    <row r="403" spans="1:1">
      <c r="A403" s="8"/>
    </row>
    <row r="404" spans="1:1">
      <c r="A404" s="8"/>
    </row>
    <row r="405" spans="1:1">
      <c r="A405" s="8"/>
    </row>
    <row r="406" spans="1:1">
      <c r="A406" s="8"/>
    </row>
    <row r="407" spans="1:1">
      <c r="A407" s="8"/>
    </row>
    <row r="408" spans="1:1">
      <c r="A408" s="8"/>
    </row>
    <row r="409" spans="1:1">
      <c r="A409" s="8"/>
    </row>
    <row r="410" spans="1:1">
      <c r="A410" s="8"/>
    </row>
  </sheetData>
  <mergeCells count="4">
    <mergeCell ref="C187:D187"/>
    <mergeCell ref="C188:D188"/>
    <mergeCell ref="A1:F1"/>
    <mergeCell ref="E187:G187"/>
  </mergeCells>
  <hyperlinks>
    <hyperlink ref="A183" r:id="rId1" display="https://www.dzo.com.ua/tenders/20078403"/>
    <hyperlink ref="A185" r:id="rId2" display="https://www.dzo.com.ua/tenders/20078403"/>
  </hyperlinks>
  <pageMargins left="0.39370078740157483" right="0.39370078740157483" top="0.78740157480314965" bottom="0.39370078740157483" header="0.19685039370078741" footer="0.19685039370078741"/>
  <pageSetup paperSize="9" scale="90" orientation="landscape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fitToPage="1"/>
  </sheetPr>
  <dimension ref="A1:R140"/>
  <sheetViews>
    <sheetView view="pageBreakPreview" topLeftCell="A118" zoomScale="60" zoomScaleNormal="60" workbookViewId="0">
      <selection activeCell="S127" sqref="S127"/>
    </sheetView>
  </sheetViews>
  <sheetFormatPr defaultRowHeight="20.25"/>
  <cols>
    <col min="1" max="1" width="9.85546875" style="1" customWidth="1"/>
    <col min="2" max="2" width="26.140625" style="1" customWidth="1"/>
    <col min="3" max="3" width="11.28515625" style="1" customWidth="1"/>
    <col min="4" max="4" width="15.28515625" style="1" customWidth="1"/>
    <col min="5" max="10" width="18.42578125" style="1" customWidth="1"/>
    <col min="11" max="11" width="18.7109375" style="1" customWidth="1"/>
    <col min="12" max="12" width="19" style="1" customWidth="1"/>
    <col min="13" max="13" width="18.42578125" style="1" customWidth="1"/>
    <col min="14" max="14" width="18.42578125" style="183" customWidth="1"/>
    <col min="15" max="15" width="19.42578125" style="183" customWidth="1"/>
    <col min="16" max="16" width="19.42578125" style="1" customWidth="1"/>
    <col min="17" max="24" width="9.140625" style="1"/>
    <col min="25" max="25" width="15.5703125" style="1" bestFit="1" customWidth="1"/>
    <col min="26" max="16384" width="9.140625" style="1"/>
  </cols>
  <sheetData>
    <row r="1" spans="1:16">
      <c r="A1" s="200"/>
      <c r="B1" s="200"/>
      <c r="C1" s="200"/>
      <c r="D1" s="200"/>
      <c r="E1" s="200"/>
      <c r="F1" s="200"/>
      <c r="G1" s="200"/>
      <c r="H1" s="200"/>
      <c r="I1" s="92"/>
      <c r="J1" s="92"/>
      <c r="P1" s="92"/>
    </row>
    <row r="2" spans="1:16" s="9" customFormat="1" ht="42.75" customHeight="1">
      <c r="D2" s="266" t="s">
        <v>213</v>
      </c>
      <c r="E2" s="266"/>
      <c r="F2" s="266"/>
      <c r="G2" s="266"/>
      <c r="H2" s="266"/>
      <c r="I2" s="266"/>
      <c r="J2" s="266"/>
      <c r="K2" s="266"/>
      <c r="L2" s="266"/>
      <c r="M2" s="266"/>
    </row>
    <row r="3" spans="1:16">
      <c r="A3" s="93"/>
      <c r="B3" s="93"/>
      <c r="C3" s="93"/>
      <c r="D3" s="93"/>
      <c r="E3" s="94"/>
      <c r="F3" s="94"/>
      <c r="G3" s="94"/>
      <c r="H3" s="94"/>
      <c r="I3" s="94"/>
      <c r="J3" s="94"/>
      <c r="P3" s="92" t="s">
        <v>51</v>
      </c>
    </row>
    <row r="4" spans="1:16" ht="79.5" customHeight="1">
      <c r="A4" s="232" t="s">
        <v>8</v>
      </c>
      <c r="B4" s="232" t="s">
        <v>20</v>
      </c>
      <c r="C4" s="232"/>
      <c r="D4" s="232"/>
      <c r="E4" s="232" t="s">
        <v>131</v>
      </c>
      <c r="F4" s="232"/>
      <c r="G4" s="232" t="s">
        <v>339</v>
      </c>
      <c r="H4" s="232"/>
      <c r="I4" s="232" t="s">
        <v>132</v>
      </c>
      <c r="J4" s="232"/>
      <c r="K4" s="232" t="s">
        <v>244</v>
      </c>
      <c r="L4" s="232"/>
      <c r="M4" s="232" t="s">
        <v>133</v>
      </c>
      <c r="N4" s="232"/>
      <c r="O4" s="232"/>
      <c r="P4" s="232"/>
    </row>
    <row r="5" spans="1:16" ht="85.5" customHeight="1">
      <c r="A5" s="232"/>
      <c r="B5" s="232"/>
      <c r="C5" s="232"/>
      <c r="D5" s="232"/>
      <c r="E5" s="178" t="s">
        <v>355</v>
      </c>
      <c r="F5" s="178" t="s">
        <v>356</v>
      </c>
      <c r="G5" s="178" t="s">
        <v>355</v>
      </c>
      <c r="H5" s="178" t="s">
        <v>356</v>
      </c>
      <c r="I5" s="178" t="s">
        <v>355</v>
      </c>
      <c r="J5" s="178" t="s">
        <v>356</v>
      </c>
      <c r="K5" s="178" t="s">
        <v>355</v>
      </c>
      <c r="L5" s="178" t="s">
        <v>356</v>
      </c>
      <c r="M5" s="178" t="s">
        <v>355</v>
      </c>
      <c r="N5" s="178" t="s">
        <v>356</v>
      </c>
      <c r="O5" s="199" t="s">
        <v>108</v>
      </c>
      <c r="P5" s="199" t="s">
        <v>111</v>
      </c>
    </row>
    <row r="6" spans="1:16" ht="30" customHeight="1">
      <c r="A6" s="199">
        <v>1</v>
      </c>
      <c r="B6" s="232">
        <v>2</v>
      </c>
      <c r="C6" s="232"/>
      <c r="D6" s="232"/>
      <c r="E6" s="199">
        <v>4</v>
      </c>
      <c r="F6" s="199">
        <v>5</v>
      </c>
      <c r="G6" s="199">
        <v>7</v>
      </c>
      <c r="H6" s="199">
        <v>8</v>
      </c>
      <c r="I6" s="199">
        <v>10</v>
      </c>
      <c r="J6" s="199">
        <v>11</v>
      </c>
      <c r="K6" s="198">
        <v>13</v>
      </c>
      <c r="L6" s="198">
        <v>14</v>
      </c>
      <c r="M6" s="198">
        <v>16</v>
      </c>
      <c r="N6" s="198">
        <v>17</v>
      </c>
      <c r="O6" s="198">
        <v>18</v>
      </c>
      <c r="P6" s="198">
        <v>19</v>
      </c>
    </row>
    <row r="7" spans="1:16" ht="48" customHeight="1">
      <c r="A7" s="197" t="s">
        <v>85</v>
      </c>
      <c r="B7" s="267" t="s">
        <v>95</v>
      </c>
      <c r="C7" s="268"/>
      <c r="D7" s="268"/>
      <c r="E7" s="14">
        <f t="shared" ref="E7:K7" si="0">SUM(E8:E41)</f>
        <v>0</v>
      </c>
      <c r="F7" s="14">
        <f t="shared" si="0"/>
        <v>0</v>
      </c>
      <c r="G7" s="14">
        <f t="shared" si="0"/>
        <v>1910</v>
      </c>
      <c r="H7" s="14">
        <f>SUM(H8:H41)</f>
        <v>2248.5</v>
      </c>
      <c r="I7" s="14">
        <f t="shared" si="0"/>
        <v>0</v>
      </c>
      <c r="J7" s="14">
        <f t="shared" si="0"/>
        <v>224.9</v>
      </c>
      <c r="K7" s="14">
        <f t="shared" si="0"/>
        <v>0</v>
      </c>
      <c r="L7" s="14">
        <f>SUM(L8:L41)</f>
        <v>5660.3999999999987</v>
      </c>
      <c r="M7" s="14">
        <f>E7+G7+I7+K7</f>
        <v>1910</v>
      </c>
      <c r="N7" s="14">
        <f>F7+H7+J7+L7</f>
        <v>8133.7999999999993</v>
      </c>
      <c r="O7" s="14">
        <f>N7-M7</f>
        <v>6223.7999999999993</v>
      </c>
      <c r="P7" s="14">
        <f>(N7/M7)*100</f>
        <v>425.85340314136124</v>
      </c>
    </row>
    <row r="8" spans="1:16" ht="29.25" customHeight="1">
      <c r="A8" s="197"/>
      <c r="B8" s="262" t="s">
        <v>253</v>
      </c>
      <c r="C8" s="262"/>
      <c r="D8" s="262"/>
      <c r="E8" s="18"/>
      <c r="F8" s="18"/>
      <c r="G8" s="18">
        <v>1700</v>
      </c>
      <c r="H8" s="18"/>
      <c r="I8" s="18"/>
      <c r="J8" s="18"/>
      <c r="K8" s="18"/>
      <c r="L8" s="18"/>
      <c r="M8" s="14">
        <f t="shared" ref="M8:M54" si="1">E8+G8+I8+K8</f>
        <v>1700</v>
      </c>
      <c r="N8" s="18">
        <f t="shared" ref="N8:N54" si="2">F8+H8+J8+L8</f>
        <v>0</v>
      </c>
      <c r="O8" s="14">
        <f t="shared" ref="O8:O54" si="3">N8-M8</f>
        <v>-1700</v>
      </c>
      <c r="P8" s="14">
        <f t="shared" ref="P8:P54" si="4">(N8/M8)*100</f>
        <v>0</v>
      </c>
    </row>
    <row r="9" spans="1:16" ht="42" customHeight="1">
      <c r="A9" s="197"/>
      <c r="B9" s="248" t="s">
        <v>495</v>
      </c>
      <c r="C9" s="249" t="s">
        <v>495</v>
      </c>
      <c r="D9" s="250" t="s">
        <v>495</v>
      </c>
      <c r="E9" s="18"/>
      <c r="F9" s="18"/>
      <c r="G9" s="18">
        <v>93.8</v>
      </c>
      <c r="H9" s="18"/>
      <c r="I9" s="18"/>
      <c r="J9" s="18"/>
      <c r="K9" s="18"/>
      <c r="L9" s="18"/>
      <c r="M9" s="14">
        <f t="shared" si="1"/>
        <v>93.8</v>
      </c>
      <c r="N9" s="18">
        <f t="shared" si="2"/>
        <v>0</v>
      </c>
      <c r="O9" s="14">
        <f t="shared" si="3"/>
        <v>-93.8</v>
      </c>
      <c r="P9" s="14">
        <f t="shared" si="4"/>
        <v>0</v>
      </c>
    </row>
    <row r="10" spans="1:16" ht="33" customHeight="1">
      <c r="A10" s="197"/>
      <c r="B10" s="248" t="s">
        <v>496</v>
      </c>
      <c r="C10" s="249" t="s">
        <v>496</v>
      </c>
      <c r="D10" s="250" t="s">
        <v>496</v>
      </c>
      <c r="E10" s="18"/>
      <c r="F10" s="18"/>
      <c r="G10" s="18">
        <v>75</v>
      </c>
      <c r="H10" s="18"/>
      <c r="I10" s="18"/>
      <c r="J10" s="18"/>
      <c r="K10" s="18"/>
      <c r="L10" s="18"/>
      <c r="M10" s="14">
        <f t="shared" si="1"/>
        <v>75</v>
      </c>
      <c r="N10" s="18">
        <f t="shared" si="2"/>
        <v>0</v>
      </c>
      <c r="O10" s="14">
        <f t="shared" si="3"/>
        <v>-75</v>
      </c>
      <c r="P10" s="14">
        <f t="shared" si="4"/>
        <v>0</v>
      </c>
    </row>
    <row r="11" spans="1:16" ht="29.25" customHeight="1">
      <c r="A11" s="197"/>
      <c r="B11" s="248" t="s">
        <v>497</v>
      </c>
      <c r="C11" s="249" t="s">
        <v>497</v>
      </c>
      <c r="D11" s="250" t="s">
        <v>497</v>
      </c>
      <c r="E11" s="18"/>
      <c r="F11" s="18"/>
      <c r="G11" s="18">
        <v>41.2</v>
      </c>
      <c r="H11" s="18"/>
      <c r="I11" s="18"/>
      <c r="J11" s="18"/>
      <c r="K11" s="18"/>
      <c r="L11" s="18"/>
      <c r="M11" s="14">
        <f t="shared" si="1"/>
        <v>41.2</v>
      </c>
      <c r="N11" s="18">
        <f t="shared" si="2"/>
        <v>0</v>
      </c>
      <c r="O11" s="14">
        <f t="shared" si="3"/>
        <v>-41.2</v>
      </c>
      <c r="P11" s="14">
        <f t="shared" si="4"/>
        <v>0</v>
      </c>
    </row>
    <row r="12" spans="1:16" ht="48" customHeight="1">
      <c r="A12" s="197"/>
      <c r="B12" s="263" t="s">
        <v>320</v>
      </c>
      <c r="C12" s="264"/>
      <c r="D12" s="265"/>
      <c r="E12" s="18"/>
      <c r="F12" s="18"/>
      <c r="G12" s="18"/>
      <c r="H12" s="18"/>
      <c r="I12" s="18"/>
      <c r="J12" s="18">
        <v>29.9</v>
      </c>
      <c r="K12" s="18"/>
      <c r="L12" s="18"/>
      <c r="M12" s="14">
        <f t="shared" si="1"/>
        <v>0</v>
      </c>
      <c r="N12" s="18">
        <f t="shared" si="2"/>
        <v>29.9</v>
      </c>
      <c r="O12" s="14">
        <f t="shared" si="3"/>
        <v>29.9</v>
      </c>
      <c r="P12" s="14" t="e">
        <f t="shared" si="4"/>
        <v>#DIV/0!</v>
      </c>
    </row>
    <row r="13" spans="1:16" ht="48" customHeight="1">
      <c r="A13" s="197"/>
      <c r="B13" s="248" t="s">
        <v>321</v>
      </c>
      <c r="C13" s="249"/>
      <c r="D13" s="250"/>
      <c r="E13" s="18"/>
      <c r="F13" s="18"/>
      <c r="G13" s="18"/>
      <c r="H13" s="18"/>
      <c r="I13" s="18"/>
      <c r="J13" s="18">
        <v>195</v>
      </c>
      <c r="K13" s="18"/>
      <c r="L13" s="18"/>
      <c r="M13" s="14">
        <f t="shared" si="1"/>
        <v>0</v>
      </c>
      <c r="N13" s="18">
        <f t="shared" si="2"/>
        <v>195</v>
      </c>
      <c r="O13" s="14">
        <f t="shared" si="3"/>
        <v>195</v>
      </c>
      <c r="P13" s="14" t="e">
        <f t="shared" si="4"/>
        <v>#DIV/0!</v>
      </c>
    </row>
    <row r="14" spans="1:16" ht="48" customHeight="1">
      <c r="A14" s="197"/>
      <c r="B14" s="248" t="s">
        <v>446</v>
      </c>
      <c r="C14" s="249"/>
      <c r="D14" s="250"/>
      <c r="E14" s="18"/>
      <c r="F14" s="18"/>
      <c r="G14" s="18"/>
      <c r="H14" s="18"/>
      <c r="I14" s="18"/>
      <c r="J14" s="18"/>
      <c r="K14" s="18"/>
      <c r="L14" s="18">
        <v>250.5</v>
      </c>
      <c r="M14" s="14">
        <f t="shared" si="1"/>
        <v>0</v>
      </c>
      <c r="N14" s="18">
        <f t="shared" si="2"/>
        <v>250.5</v>
      </c>
      <c r="O14" s="14">
        <f t="shared" si="3"/>
        <v>250.5</v>
      </c>
      <c r="P14" s="14" t="e">
        <f t="shared" si="4"/>
        <v>#DIV/0!</v>
      </c>
    </row>
    <row r="15" spans="1:16" ht="33" customHeight="1">
      <c r="A15" s="197"/>
      <c r="B15" s="248" t="s">
        <v>322</v>
      </c>
      <c r="C15" s="249"/>
      <c r="D15" s="250"/>
      <c r="E15" s="18"/>
      <c r="F15" s="18"/>
      <c r="G15" s="18"/>
      <c r="H15" s="18"/>
      <c r="I15" s="18"/>
      <c r="J15" s="18"/>
      <c r="K15" s="18"/>
      <c r="L15" s="18">
        <v>42.1</v>
      </c>
      <c r="M15" s="14">
        <f t="shared" si="1"/>
        <v>0</v>
      </c>
      <c r="N15" s="18">
        <f t="shared" si="2"/>
        <v>42.1</v>
      </c>
      <c r="O15" s="14">
        <f t="shared" si="3"/>
        <v>42.1</v>
      </c>
      <c r="P15" s="14" t="e">
        <f t="shared" si="4"/>
        <v>#DIV/0!</v>
      </c>
    </row>
    <row r="16" spans="1:16" ht="33" customHeight="1">
      <c r="A16" s="197"/>
      <c r="B16" s="248" t="s">
        <v>323</v>
      </c>
      <c r="C16" s="249"/>
      <c r="D16" s="250"/>
      <c r="E16" s="18"/>
      <c r="F16" s="18"/>
      <c r="G16" s="18"/>
      <c r="H16" s="18"/>
      <c r="I16" s="18"/>
      <c r="J16" s="18"/>
      <c r="K16" s="18"/>
      <c r="L16" s="18">
        <v>32.9</v>
      </c>
      <c r="M16" s="14">
        <f t="shared" si="1"/>
        <v>0</v>
      </c>
      <c r="N16" s="18">
        <f t="shared" si="2"/>
        <v>32.9</v>
      </c>
      <c r="O16" s="14">
        <f t="shared" si="3"/>
        <v>32.9</v>
      </c>
      <c r="P16" s="14" t="e">
        <f t="shared" si="4"/>
        <v>#DIV/0!</v>
      </c>
    </row>
    <row r="17" spans="1:16" ht="29.25" customHeight="1">
      <c r="A17" s="197"/>
      <c r="B17" s="248" t="s">
        <v>324</v>
      </c>
      <c r="C17" s="249"/>
      <c r="D17" s="250"/>
      <c r="E17" s="18"/>
      <c r="F17" s="18"/>
      <c r="G17" s="18"/>
      <c r="H17" s="18"/>
      <c r="I17" s="18"/>
      <c r="J17" s="18"/>
      <c r="K17" s="18"/>
      <c r="L17" s="18">
        <v>48.7</v>
      </c>
      <c r="M17" s="14">
        <f t="shared" si="1"/>
        <v>0</v>
      </c>
      <c r="N17" s="18">
        <f t="shared" si="2"/>
        <v>48.7</v>
      </c>
      <c r="O17" s="14">
        <f t="shared" si="3"/>
        <v>48.7</v>
      </c>
      <c r="P17" s="14" t="e">
        <f t="shared" si="4"/>
        <v>#DIV/0!</v>
      </c>
    </row>
    <row r="18" spans="1:16" ht="66.75" customHeight="1">
      <c r="A18" s="197"/>
      <c r="B18" s="248" t="s">
        <v>325</v>
      </c>
      <c r="C18" s="249"/>
      <c r="D18" s="250"/>
      <c r="E18" s="18"/>
      <c r="F18" s="18"/>
      <c r="G18" s="18"/>
      <c r="H18" s="18"/>
      <c r="I18" s="18"/>
      <c r="J18" s="18"/>
      <c r="K18" s="18"/>
      <c r="L18" s="18">
        <v>1621.6</v>
      </c>
      <c r="M18" s="14">
        <f t="shared" si="1"/>
        <v>0</v>
      </c>
      <c r="N18" s="18">
        <f t="shared" si="2"/>
        <v>1621.6</v>
      </c>
      <c r="O18" s="14">
        <f t="shared" si="3"/>
        <v>1621.6</v>
      </c>
      <c r="P18" s="14" t="e">
        <f t="shared" si="4"/>
        <v>#DIV/0!</v>
      </c>
    </row>
    <row r="19" spans="1:16" ht="99" customHeight="1">
      <c r="A19" s="197"/>
      <c r="B19" s="248" t="s">
        <v>326</v>
      </c>
      <c r="C19" s="249"/>
      <c r="D19" s="250"/>
      <c r="E19" s="18"/>
      <c r="F19" s="18"/>
      <c r="G19" s="18"/>
      <c r="H19" s="18"/>
      <c r="I19" s="18"/>
      <c r="J19" s="18"/>
      <c r="K19" s="18"/>
      <c r="L19" s="18">
        <v>1666</v>
      </c>
      <c r="M19" s="14">
        <f t="shared" si="1"/>
        <v>0</v>
      </c>
      <c r="N19" s="18">
        <f t="shared" si="2"/>
        <v>1666</v>
      </c>
      <c r="O19" s="14">
        <f t="shared" si="3"/>
        <v>1666</v>
      </c>
      <c r="P19" s="14" t="e">
        <f t="shared" si="4"/>
        <v>#DIV/0!</v>
      </c>
    </row>
    <row r="20" spans="1:16" ht="48" customHeight="1">
      <c r="A20" s="197"/>
      <c r="B20" s="248" t="s">
        <v>327</v>
      </c>
      <c r="C20" s="249"/>
      <c r="D20" s="250"/>
      <c r="E20" s="18"/>
      <c r="F20" s="18"/>
      <c r="G20" s="18"/>
      <c r="H20" s="18"/>
      <c r="I20" s="18"/>
      <c r="J20" s="18"/>
      <c r="K20" s="18"/>
      <c r="L20" s="18">
        <v>331</v>
      </c>
      <c r="M20" s="14">
        <f t="shared" si="1"/>
        <v>0</v>
      </c>
      <c r="N20" s="18">
        <f t="shared" si="2"/>
        <v>331</v>
      </c>
      <c r="O20" s="14">
        <f t="shared" si="3"/>
        <v>331</v>
      </c>
      <c r="P20" s="14" t="e">
        <f t="shared" si="4"/>
        <v>#DIV/0!</v>
      </c>
    </row>
    <row r="21" spans="1:16" ht="48" customHeight="1">
      <c r="A21" s="197"/>
      <c r="B21" s="248" t="s">
        <v>328</v>
      </c>
      <c r="C21" s="249"/>
      <c r="D21" s="250"/>
      <c r="E21" s="18"/>
      <c r="F21" s="18"/>
      <c r="G21" s="18"/>
      <c r="H21" s="18"/>
      <c r="I21" s="18"/>
      <c r="J21" s="18"/>
      <c r="K21" s="18"/>
      <c r="L21" s="18">
        <v>49.1</v>
      </c>
      <c r="M21" s="14">
        <f t="shared" si="1"/>
        <v>0</v>
      </c>
      <c r="N21" s="18">
        <f t="shared" si="2"/>
        <v>49.1</v>
      </c>
      <c r="O21" s="14">
        <f t="shared" si="3"/>
        <v>49.1</v>
      </c>
      <c r="P21" s="14" t="e">
        <f t="shared" si="4"/>
        <v>#DIV/0!</v>
      </c>
    </row>
    <row r="22" spans="1:16" ht="35.25" customHeight="1">
      <c r="A22" s="197"/>
      <c r="B22" s="248" t="s">
        <v>329</v>
      </c>
      <c r="C22" s="249"/>
      <c r="D22" s="250"/>
      <c r="E22" s="18"/>
      <c r="F22" s="18"/>
      <c r="G22" s="18"/>
      <c r="H22" s="18"/>
      <c r="I22" s="18"/>
      <c r="J22" s="18"/>
      <c r="K22" s="18"/>
      <c r="L22" s="18">
        <v>56.4</v>
      </c>
      <c r="M22" s="14">
        <f t="shared" si="1"/>
        <v>0</v>
      </c>
      <c r="N22" s="18">
        <f t="shared" si="2"/>
        <v>56.4</v>
      </c>
      <c r="O22" s="14">
        <f t="shared" si="3"/>
        <v>56.4</v>
      </c>
      <c r="P22" s="14" t="e">
        <f t="shared" si="4"/>
        <v>#DIV/0!</v>
      </c>
    </row>
    <row r="23" spans="1:16" ht="36.75" customHeight="1">
      <c r="A23" s="197"/>
      <c r="B23" s="248" t="s">
        <v>330</v>
      </c>
      <c r="C23" s="249"/>
      <c r="D23" s="250"/>
      <c r="E23" s="18"/>
      <c r="F23" s="18"/>
      <c r="G23" s="18"/>
      <c r="H23" s="18">
        <v>75</v>
      </c>
      <c r="I23" s="18"/>
      <c r="J23" s="18"/>
      <c r="K23" s="18"/>
      <c r="L23" s="18"/>
      <c r="M23" s="14">
        <f t="shared" si="1"/>
        <v>0</v>
      </c>
      <c r="N23" s="18">
        <f t="shared" si="2"/>
        <v>75</v>
      </c>
      <c r="O23" s="14">
        <f t="shared" si="3"/>
        <v>75</v>
      </c>
      <c r="P23" s="14" t="e">
        <f t="shared" si="4"/>
        <v>#DIV/0!</v>
      </c>
    </row>
    <row r="24" spans="1:16" ht="40.5" customHeight="1">
      <c r="A24" s="197"/>
      <c r="B24" s="248" t="s">
        <v>331</v>
      </c>
      <c r="C24" s="249"/>
      <c r="D24" s="250"/>
      <c r="E24" s="18"/>
      <c r="F24" s="18"/>
      <c r="G24" s="18"/>
      <c r="H24" s="18">
        <v>41.2</v>
      </c>
      <c r="I24" s="18"/>
      <c r="J24" s="18"/>
      <c r="K24" s="18"/>
      <c r="L24" s="18"/>
      <c r="M24" s="14">
        <f t="shared" si="1"/>
        <v>0</v>
      </c>
      <c r="N24" s="18">
        <f t="shared" si="2"/>
        <v>41.2</v>
      </c>
      <c r="O24" s="14">
        <f t="shared" si="3"/>
        <v>41.2</v>
      </c>
      <c r="P24" s="14" t="e">
        <f t="shared" si="4"/>
        <v>#DIV/0!</v>
      </c>
    </row>
    <row r="25" spans="1:16" ht="48" customHeight="1">
      <c r="A25" s="197"/>
      <c r="B25" s="248" t="s">
        <v>480</v>
      </c>
      <c r="C25" s="249"/>
      <c r="D25" s="250"/>
      <c r="E25" s="18"/>
      <c r="F25" s="18"/>
      <c r="G25" s="18"/>
      <c r="H25" s="18">
        <v>1700</v>
      </c>
      <c r="I25" s="18"/>
      <c r="J25" s="18"/>
      <c r="K25" s="18"/>
      <c r="L25" s="18"/>
      <c r="M25" s="14">
        <f t="shared" si="1"/>
        <v>0</v>
      </c>
      <c r="N25" s="18">
        <f t="shared" si="2"/>
        <v>1700</v>
      </c>
      <c r="O25" s="14">
        <f t="shared" si="3"/>
        <v>1700</v>
      </c>
      <c r="P25" s="14" t="e">
        <f t="shared" si="4"/>
        <v>#DIV/0!</v>
      </c>
    </row>
    <row r="26" spans="1:16" ht="48" customHeight="1">
      <c r="A26" s="197"/>
      <c r="B26" s="248" t="s">
        <v>459</v>
      </c>
      <c r="C26" s="249"/>
      <c r="D26" s="250"/>
      <c r="E26" s="18"/>
      <c r="F26" s="18"/>
      <c r="G26" s="18"/>
      <c r="H26" s="18"/>
      <c r="I26" s="18"/>
      <c r="J26" s="18"/>
      <c r="K26" s="18"/>
      <c r="L26" s="18">
        <v>35.4</v>
      </c>
      <c r="M26" s="14">
        <f t="shared" si="1"/>
        <v>0</v>
      </c>
      <c r="N26" s="18">
        <f t="shared" si="2"/>
        <v>35.4</v>
      </c>
      <c r="O26" s="14">
        <f t="shared" si="3"/>
        <v>35.4</v>
      </c>
      <c r="P26" s="14" t="e">
        <f t="shared" si="4"/>
        <v>#DIV/0!</v>
      </c>
    </row>
    <row r="27" spans="1:16" ht="36.75" customHeight="1">
      <c r="A27" s="197"/>
      <c r="B27" s="248" t="s">
        <v>333</v>
      </c>
      <c r="C27" s="249"/>
      <c r="D27" s="250"/>
      <c r="E27" s="18"/>
      <c r="F27" s="18"/>
      <c r="G27" s="18"/>
      <c r="H27" s="18"/>
      <c r="I27" s="18"/>
      <c r="J27" s="18"/>
      <c r="K27" s="18"/>
      <c r="L27" s="18">
        <v>780</v>
      </c>
      <c r="M27" s="14">
        <f t="shared" si="1"/>
        <v>0</v>
      </c>
      <c r="N27" s="18">
        <f t="shared" si="2"/>
        <v>780</v>
      </c>
      <c r="O27" s="14">
        <f t="shared" si="3"/>
        <v>780</v>
      </c>
      <c r="P27" s="14" t="e">
        <f t="shared" si="4"/>
        <v>#DIV/0!</v>
      </c>
    </row>
    <row r="28" spans="1:16" ht="40.5" customHeight="1">
      <c r="A28" s="197"/>
      <c r="B28" s="248" t="s">
        <v>334</v>
      </c>
      <c r="C28" s="249"/>
      <c r="D28" s="250"/>
      <c r="E28" s="18"/>
      <c r="F28" s="18"/>
      <c r="G28" s="18"/>
      <c r="H28" s="18"/>
      <c r="I28" s="18"/>
      <c r="J28" s="18"/>
      <c r="K28" s="18"/>
      <c r="L28" s="18">
        <v>34.4</v>
      </c>
      <c r="M28" s="14">
        <f t="shared" si="1"/>
        <v>0</v>
      </c>
      <c r="N28" s="18">
        <f t="shared" si="2"/>
        <v>34.4</v>
      </c>
      <c r="O28" s="14">
        <f t="shared" si="3"/>
        <v>34.4</v>
      </c>
      <c r="P28" s="14" t="e">
        <f t="shared" si="4"/>
        <v>#DIV/0!</v>
      </c>
    </row>
    <row r="29" spans="1:16" ht="48" customHeight="1">
      <c r="A29" s="197"/>
      <c r="B29" s="248" t="s">
        <v>335</v>
      </c>
      <c r="C29" s="249"/>
      <c r="D29" s="250"/>
      <c r="E29" s="18"/>
      <c r="F29" s="18"/>
      <c r="G29" s="18"/>
      <c r="H29" s="18"/>
      <c r="I29" s="18"/>
      <c r="J29" s="18"/>
      <c r="K29" s="18"/>
      <c r="L29" s="18">
        <v>44.9</v>
      </c>
      <c r="M29" s="14">
        <f t="shared" si="1"/>
        <v>0</v>
      </c>
      <c r="N29" s="18">
        <f t="shared" si="2"/>
        <v>44.9</v>
      </c>
      <c r="O29" s="14">
        <f t="shared" si="3"/>
        <v>44.9</v>
      </c>
      <c r="P29" s="14" t="e">
        <f t="shared" si="4"/>
        <v>#DIV/0!</v>
      </c>
    </row>
    <row r="30" spans="1:16" ht="33" customHeight="1">
      <c r="A30" s="197"/>
      <c r="B30" s="248" t="s">
        <v>447</v>
      </c>
      <c r="C30" s="249"/>
      <c r="D30" s="250"/>
      <c r="E30" s="18"/>
      <c r="F30" s="18"/>
      <c r="G30" s="18"/>
      <c r="H30" s="18"/>
      <c r="I30" s="18"/>
      <c r="J30" s="18"/>
      <c r="K30" s="18"/>
      <c r="L30" s="18">
        <v>20.399999999999999</v>
      </c>
      <c r="M30" s="14">
        <f t="shared" si="1"/>
        <v>0</v>
      </c>
      <c r="N30" s="18">
        <f t="shared" si="2"/>
        <v>20.399999999999999</v>
      </c>
      <c r="O30" s="14">
        <f t="shared" si="3"/>
        <v>20.399999999999999</v>
      </c>
      <c r="P30" s="14" t="e">
        <f t="shared" si="4"/>
        <v>#DIV/0!</v>
      </c>
    </row>
    <row r="31" spans="1:16" ht="32.25" customHeight="1">
      <c r="A31" s="197"/>
      <c r="B31" s="248" t="s">
        <v>448</v>
      </c>
      <c r="C31" s="249"/>
      <c r="D31" s="250"/>
      <c r="E31" s="18"/>
      <c r="F31" s="18"/>
      <c r="G31" s="18"/>
      <c r="H31" s="18"/>
      <c r="I31" s="18"/>
      <c r="J31" s="18"/>
      <c r="K31" s="18"/>
      <c r="L31" s="18">
        <v>23.5</v>
      </c>
      <c r="M31" s="14">
        <f t="shared" si="1"/>
        <v>0</v>
      </c>
      <c r="N31" s="18">
        <f t="shared" si="2"/>
        <v>23.5</v>
      </c>
      <c r="O31" s="14">
        <f t="shared" si="3"/>
        <v>23.5</v>
      </c>
      <c r="P31" s="14" t="e">
        <f t="shared" si="4"/>
        <v>#DIV/0!</v>
      </c>
    </row>
    <row r="32" spans="1:16" ht="39.75" customHeight="1">
      <c r="A32" s="197"/>
      <c r="B32" s="263" t="s">
        <v>449</v>
      </c>
      <c r="C32" s="264"/>
      <c r="D32" s="265"/>
      <c r="E32" s="18"/>
      <c r="F32" s="18"/>
      <c r="G32" s="18"/>
      <c r="H32" s="18"/>
      <c r="I32" s="18"/>
      <c r="J32" s="18"/>
      <c r="K32" s="18"/>
      <c r="L32" s="18">
        <v>78.8</v>
      </c>
      <c r="M32" s="14">
        <f t="shared" si="1"/>
        <v>0</v>
      </c>
      <c r="N32" s="18">
        <f t="shared" si="2"/>
        <v>78.8</v>
      </c>
      <c r="O32" s="14">
        <f t="shared" si="3"/>
        <v>78.8</v>
      </c>
      <c r="P32" s="14" t="e">
        <f t="shared" si="4"/>
        <v>#DIV/0!</v>
      </c>
    </row>
    <row r="33" spans="1:18" ht="39.75" customHeight="1">
      <c r="A33" s="197"/>
      <c r="B33" s="263" t="s">
        <v>450</v>
      </c>
      <c r="C33" s="264"/>
      <c r="D33" s="265"/>
      <c r="E33" s="18"/>
      <c r="F33" s="18"/>
      <c r="G33" s="18"/>
      <c r="H33" s="18"/>
      <c r="I33" s="18"/>
      <c r="J33" s="18"/>
      <c r="K33" s="18"/>
      <c r="L33" s="18">
        <v>33.5</v>
      </c>
      <c r="M33" s="14">
        <f t="shared" si="1"/>
        <v>0</v>
      </c>
      <c r="N33" s="18">
        <f t="shared" si="2"/>
        <v>33.5</v>
      </c>
      <c r="O33" s="14">
        <f t="shared" si="3"/>
        <v>33.5</v>
      </c>
      <c r="P33" s="14" t="e">
        <f t="shared" si="4"/>
        <v>#DIV/0!</v>
      </c>
    </row>
    <row r="34" spans="1:18" ht="40.5" customHeight="1">
      <c r="A34" s="197"/>
      <c r="B34" s="248" t="s">
        <v>451</v>
      </c>
      <c r="C34" s="249"/>
      <c r="D34" s="250"/>
      <c r="E34" s="18"/>
      <c r="F34" s="18"/>
      <c r="G34" s="18"/>
      <c r="H34" s="18"/>
      <c r="I34" s="18"/>
      <c r="J34" s="18"/>
      <c r="K34" s="18"/>
      <c r="L34" s="18">
        <v>165.2</v>
      </c>
      <c r="M34" s="14">
        <f t="shared" si="1"/>
        <v>0</v>
      </c>
      <c r="N34" s="18">
        <f t="shared" si="2"/>
        <v>165.2</v>
      </c>
      <c r="O34" s="14">
        <f t="shared" si="3"/>
        <v>165.2</v>
      </c>
      <c r="P34" s="14" t="e">
        <f t="shared" si="4"/>
        <v>#DIV/0!</v>
      </c>
    </row>
    <row r="35" spans="1:18" ht="44.25" customHeight="1">
      <c r="A35" s="197"/>
      <c r="B35" s="248" t="s">
        <v>452</v>
      </c>
      <c r="C35" s="249"/>
      <c r="D35" s="250"/>
      <c r="E35" s="18"/>
      <c r="F35" s="18"/>
      <c r="G35" s="18"/>
      <c r="H35" s="18">
        <v>93.8</v>
      </c>
      <c r="I35" s="18"/>
      <c r="J35" s="18"/>
      <c r="K35" s="18"/>
      <c r="L35" s="18"/>
      <c r="M35" s="14">
        <f t="shared" si="1"/>
        <v>0</v>
      </c>
      <c r="N35" s="18">
        <f t="shared" si="2"/>
        <v>93.8</v>
      </c>
      <c r="O35" s="14">
        <f t="shared" si="3"/>
        <v>93.8</v>
      </c>
      <c r="P35" s="14" t="e">
        <f t="shared" si="4"/>
        <v>#DIV/0!</v>
      </c>
    </row>
    <row r="36" spans="1:18" ht="86.25" customHeight="1">
      <c r="A36" s="197"/>
      <c r="B36" s="248" t="s">
        <v>453</v>
      </c>
      <c r="C36" s="249"/>
      <c r="D36" s="250"/>
      <c r="E36" s="18"/>
      <c r="F36" s="18"/>
      <c r="G36" s="18"/>
      <c r="H36" s="18"/>
      <c r="I36" s="18"/>
      <c r="J36" s="18"/>
      <c r="K36" s="18"/>
      <c r="L36" s="18">
        <v>346</v>
      </c>
      <c r="M36" s="14">
        <f t="shared" si="1"/>
        <v>0</v>
      </c>
      <c r="N36" s="18">
        <f t="shared" si="2"/>
        <v>346</v>
      </c>
      <c r="O36" s="14">
        <f t="shared" si="3"/>
        <v>346</v>
      </c>
      <c r="P36" s="14" t="e">
        <f t="shared" si="4"/>
        <v>#DIV/0!</v>
      </c>
    </row>
    <row r="37" spans="1:18" ht="33" customHeight="1">
      <c r="A37" s="197"/>
      <c r="B37" s="248" t="s">
        <v>454</v>
      </c>
      <c r="C37" s="249"/>
      <c r="D37" s="250"/>
      <c r="E37" s="18"/>
      <c r="F37" s="18"/>
      <c r="G37" s="18"/>
      <c r="H37" s="18">
        <v>36.4</v>
      </c>
      <c r="I37" s="18"/>
      <c r="J37" s="18"/>
      <c r="K37" s="18"/>
      <c r="L37" s="18"/>
      <c r="M37" s="14">
        <f t="shared" si="1"/>
        <v>0</v>
      </c>
      <c r="N37" s="18">
        <f t="shared" si="2"/>
        <v>36.4</v>
      </c>
      <c r="O37" s="14">
        <f t="shared" si="3"/>
        <v>36.4</v>
      </c>
      <c r="P37" s="14" t="e">
        <f t="shared" si="4"/>
        <v>#DIV/0!</v>
      </c>
      <c r="R37" s="1" t="s">
        <v>481</v>
      </c>
    </row>
    <row r="38" spans="1:18" ht="35.25" customHeight="1">
      <c r="A38" s="197"/>
      <c r="B38" s="248" t="s">
        <v>455</v>
      </c>
      <c r="C38" s="249"/>
      <c r="D38" s="250"/>
      <c r="E38" s="18"/>
      <c r="F38" s="18"/>
      <c r="G38" s="18"/>
      <c r="H38" s="18">
        <v>129.6</v>
      </c>
      <c r="I38" s="18"/>
      <c r="J38" s="18"/>
      <c r="K38" s="18"/>
      <c r="L38" s="18"/>
      <c r="M38" s="14">
        <f t="shared" si="1"/>
        <v>0</v>
      </c>
      <c r="N38" s="18">
        <f t="shared" si="2"/>
        <v>129.6</v>
      </c>
      <c r="O38" s="14">
        <f t="shared" si="3"/>
        <v>129.6</v>
      </c>
      <c r="P38" s="14" t="e">
        <f t="shared" si="4"/>
        <v>#DIV/0!</v>
      </c>
    </row>
    <row r="39" spans="1:18" ht="36.75" customHeight="1">
      <c r="A39" s="197"/>
      <c r="B39" s="248" t="s">
        <v>456</v>
      </c>
      <c r="C39" s="249"/>
      <c r="D39" s="250"/>
      <c r="E39" s="18"/>
      <c r="F39" s="18"/>
      <c r="G39" s="18"/>
      <c r="H39" s="18">
        <v>47.7</v>
      </c>
      <c r="I39" s="18"/>
      <c r="J39" s="18"/>
      <c r="K39" s="18"/>
      <c r="L39" s="18"/>
      <c r="M39" s="14">
        <f t="shared" si="1"/>
        <v>0</v>
      </c>
      <c r="N39" s="18">
        <f t="shared" si="2"/>
        <v>47.7</v>
      </c>
      <c r="O39" s="14">
        <f t="shared" si="3"/>
        <v>47.7</v>
      </c>
      <c r="P39" s="14" t="e">
        <f t="shared" si="4"/>
        <v>#DIV/0!</v>
      </c>
    </row>
    <row r="40" spans="1:18" ht="31.5" customHeight="1">
      <c r="A40" s="197"/>
      <c r="B40" s="248" t="s">
        <v>457</v>
      </c>
      <c r="C40" s="249"/>
      <c r="D40" s="250"/>
      <c r="E40" s="18"/>
      <c r="F40" s="18"/>
      <c r="G40" s="18"/>
      <c r="H40" s="18">
        <v>69.900000000000006</v>
      </c>
      <c r="I40" s="18"/>
      <c r="J40" s="18"/>
      <c r="K40" s="18"/>
      <c r="L40" s="18"/>
      <c r="M40" s="14">
        <f t="shared" si="1"/>
        <v>0</v>
      </c>
      <c r="N40" s="18">
        <f t="shared" si="2"/>
        <v>69.900000000000006</v>
      </c>
      <c r="O40" s="14">
        <f t="shared" si="3"/>
        <v>69.900000000000006</v>
      </c>
      <c r="P40" s="14" t="e">
        <f t="shared" si="4"/>
        <v>#DIV/0!</v>
      </c>
    </row>
    <row r="41" spans="1:18" ht="36.75" customHeight="1">
      <c r="A41" s="197"/>
      <c r="B41" s="248" t="s">
        <v>458</v>
      </c>
      <c r="C41" s="249"/>
      <c r="D41" s="250"/>
      <c r="E41" s="18"/>
      <c r="F41" s="18"/>
      <c r="G41" s="18"/>
      <c r="H41" s="18">
        <v>54.9</v>
      </c>
      <c r="I41" s="18"/>
      <c r="J41" s="18"/>
      <c r="K41" s="18"/>
      <c r="L41" s="18"/>
      <c r="M41" s="14">
        <f t="shared" si="1"/>
        <v>0</v>
      </c>
      <c r="N41" s="18">
        <f t="shared" si="2"/>
        <v>54.9</v>
      </c>
      <c r="O41" s="14">
        <f t="shared" si="3"/>
        <v>54.9</v>
      </c>
      <c r="P41" s="14" t="e">
        <f t="shared" si="4"/>
        <v>#DIV/0!</v>
      </c>
    </row>
    <row r="42" spans="1:18" ht="62.25" customHeight="1">
      <c r="A42" s="197" t="s">
        <v>94</v>
      </c>
      <c r="B42" s="239" t="s">
        <v>96</v>
      </c>
      <c r="C42" s="239"/>
      <c r="D42" s="239"/>
      <c r="E42" s="14">
        <f t="shared" ref="E42:G42" si="5">SUM(E43:E112)</f>
        <v>0</v>
      </c>
      <c r="F42" s="14">
        <f t="shared" si="5"/>
        <v>0</v>
      </c>
      <c r="G42" s="14">
        <f t="shared" si="5"/>
        <v>0</v>
      </c>
      <c r="H42" s="14">
        <f>SUM(H43:H112)</f>
        <v>949.00000000000011</v>
      </c>
      <c r="I42" s="14">
        <f t="shared" ref="I42:L42" si="6">SUM(I43:I112)</f>
        <v>0</v>
      </c>
      <c r="J42" s="14">
        <f t="shared" si="6"/>
        <v>138.89999999999998</v>
      </c>
      <c r="K42" s="14">
        <f t="shared" si="6"/>
        <v>0</v>
      </c>
      <c r="L42" s="14">
        <f t="shared" si="6"/>
        <v>280.7</v>
      </c>
      <c r="M42" s="14">
        <f t="shared" si="1"/>
        <v>0</v>
      </c>
      <c r="N42" s="18">
        <f t="shared" si="2"/>
        <v>1368.6000000000001</v>
      </c>
      <c r="O42" s="14">
        <f t="shared" si="3"/>
        <v>1368.6000000000001</v>
      </c>
      <c r="P42" s="95" t="e">
        <f t="shared" si="4"/>
        <v>#DIV/0!</v>
      </c>
    </row>
    <row r="43" spans="1:18" ht="34.5" customHeight="1">
      <c r="A43" s="197"/>
      <c r="B43" s="220" t="s">
        <v>290</v>
      </c>
      <c r="C43" s="221"/>
      <c r="D43" s="222"/>
      <c r="E43" s="18"/>
      <c r="F43" s="18"/>
      <c r="G43" s="18"/>
      <c r="H43" s="18"/>
      <c r="I43" s="18"/>
      <c r="J43" s="18">
        <v>14.1</v>
      </c>
      <c r="K43" s="18"/>
      <c r="L43" s="18"/>
      <c r="M43" s="14">
        <f t="shared" si="1"/>
        <v>0</v>
      </c>
      <c r="N43" s="18">
        <f t="shared" si="2"/>
        <v>14.1</v>
      </c>
      <c r="O43" s="14">
        <f t="shared" si="3"/>
        <v>14.1</v>
      </c>
      <c r="P43" s="95" t="e">
        <f t="shared" si="4"/>
        <v>#DIV/0!</v>
      </c>
    </row>
    <row r="44" spans="1:18" ht="36.75" customHeight="1">
      <c r="A44" s="197"/>
      <c r="B44" s="220" t="s">
        <v>291</v>
      </c>
      <c r="C44" s="221"/>
      <c r="D44" s="222"/>
      <c r="E44" s="18"/>
      <c r="F44" s="18"/>
      <c r="G44" s="18"/>
      <c r="H44" s="18"/>
      <c r="I44" s="18"/>
      <c r="J44" s="18"/>
      <c r="K44" s="18"/>
      <c r="L44" s="18">
        <v>8.1999999999999993</v>
      </c>
      <c r="M44" s="14">
        <f t="shared" si="1"/>
        <v>0</v>
      </c>
      <c r="N44" s="18">
        <f t="shared" si="2"/>
        <v>8.1999999999999993</v>
      </c>
      <c r="O44" s="14">
        <f t="shared" si="3"/>
        <v>8.1999999999999993</v>
      </c>
      <c r="P44" s="95" t="e">
        <f t="shared" si="4"/>
        <v>#DIV/0!</v>
      </c>
    </row>
    <row r="45" spans="1:18" ht="36.75" customHeight="1">
      <c r="A45" s="197"/>
      <c r="B45" s="251" t="s">
        <v>426</v>
      </c>
      <c r="C45" s="252"/>
      <c r="D45" s="253"/>
      <c r="E45" s="18"/>
      <c r="F45" s="18"/>
      <c r="G45" s="18"/>
      <c r="H45" s="18"/>
      <c r="I45" s="18"/>
      <c r="J45" s="18"/>
      <c r="K45" s="18"/>
      <c r="L45" s="18">
        <v>0.3</v>
      </c>
      <c r="M45" s="14">
        <f t="shared" si="1"/>
        <v>0</v>
      </c>
      <c r="N45" s="18">
        <f t="shared" si="2"/>
        <v>0.3</v>
      </c>
      <c r="O45" s="14">
        <f t="shared" si="3"/>
        <v>0.3</v>
      </c>
      <c r="P45" s="95" t="e">
        <f t="shared" si="4"/>
        <v>#DIV/0!</v>
      </c>
    </row>
    <row r="46" spans="1:18" ht="36.75" customHeight="1">
      <c r="A46" s="197"/>
      <c r="B46" s="251" t="s">
        <v>292</v>
      </c>
      <c r="C46" s="252"/>
      <c r="D46" s="253"/>
      <c r="E46" s="18"/>
      <c r="F46" s="18"/>
      <c r="G46" s="18"/>
      <c r="H46" s="18"/>
      <c r="I46" s="18"/>
      <c r="J46" s="18"/>
      <c r="K46" s="18"/>
      <c r="L46" s="18">
        <v>0.1</v>
      </c>
      <c r="M46" s="14">
        <f t="shared" si="1"/>
        <v>0</v>
      </c>
      <c r="N46" s="18">
        <f t="shared" si="2"/>
        <v>0.1</v>
      </c>
      <c r="O46" s="14">
        <f t="shared" si="3"/>
        <v>0.1</v>
      </c>
      <c r="P46" s="95" t="e">
        <f t="shared" si="4"/>
        <v>#DIV/0!</v>
      </c>
    </row>
    <row r="47" spans="1:18" ht="36.75" customHeight="1">
      <c r="A47" s="197"/>
      <c r="B47" s="251" t="s">
        <v>460</v>
      </c>
      <c r="C47" s="252"/>
      <c r="D47" s="253"/>
      <c r="E47" s="18"/>
      <c r="F47" s="18"/>
      <c r="G47" s="18"/>
      <c r="H47" s="18"/>
      <c r="I47" s="18"/>
      <c r="J47" s="18"/>
      <c r="K47" s="18"/>
      <c r="L47" s="18">
        <v>1.6</v>
      </c>
      <c r="M47" s="14">
        <f t="shared" si="1"/>
        <v>0</v>
      </c>
      <c r="N47" s="18">
        <f t="shared" si="2"/>
        <v>1.6</v>
      </c>
      <c r="O47" s="14">
        <f t="shared" si="3"/>
        <v>1.6</v>
      </c>
      <c r="P47" s="95" t="e">
        <f t="shared" si="4"/>
        <v>#DIV/0!</v>
      </c>
    </row>
    <row r="48" spans="1:18" ht="36.75" customHeight="1">
      <c r="A48" s="197"/>
      <c r="B48" s="251" t="s">
        <v>461</v>
      </c>
      <c r="C48" s="252"/>
      <c r="D48" s="253"/>
      <c r="E48" s="18"/>
      <c r="F48" s="18"/>
      <c r="G48" s="18"/>
      <c r="H48" s="18"/>
      <c r="I48" s="18"/>
      <c r="J48" s="18"/>
      <c r="K48" s="18"/>
      <c r="L48" s="18">
        <v>4.2</v>
      </c>
      <c r="M48" s="14">
        <f t="shared" si="1"/>
        <v>0</v>
      </c>
      <c r="N48" s="18">
        <f t="shared" si="2"/>
        <v>4.2</v>
      </c>
      <c r="O48" s="14">
        <f t="shared" si="3"/>
        <v>4.2</v>
      </c>
      <c r="P48" s="95" t="e">
        <f t="shared" si="4"/>
        <v>#DIV/0!</v>
      </c>
    </row>
    <row r="49" spans="1:16" ht="36.75" customHeight="1">
      <c r="A49" s="197"/>
      <c r="B49" s="251" t="s">
        <v>462</v>
      </c>
      <c r="C49" s="252"/>
      <c r="D49" s="253"/>
      <c r="E49" s="18"/>
      <c r="F49" s="18"/>
      <c r="G49" s="18"/>
      <c r="H49" s="18"/>
      <c r="I49" s="18"/>
      <c r="J49" s="18"/>
      <c r="K49" s="18"/>
      <c r="L49" s="18">
        <v>1.2</v>
      </c>
      <c r="M49" s="14">
        <f t="shared" si="1"/>
        <v>0</v>
      </c>
      <c r="N49" s="18">
        <f t="shared" si="2"/>
        <v>1.2</v>
      </c>
      <c r="O49" s="14">
        <f t="shared" si="3"/>
        <v>1.2</v>
      </c>
      <c r="P49" s="95" t="e">
        <f t="shared" si="4"/>
        <v>#DIV/0!</v>
      </c>
    </row>
    <row r="50" spans="1:16" ht="36.75" customHeight="1">
      <c r="A50" s="197"/>
      <c r="B50" s="251" t="s">
        <v>293</v>
      </c>
      <c r="C50" s="252"/>
      <c r="D50" s="253"/>
      <c r="E50" s="18"/>
      <c r="F50" s="18"/>
      <c r="G50" s="18"/>
      <c r="H50" s="18"/>
      <c r="I50" s="18"/>
      <c r="J50" s="18"/>
      <c r="K50" s="18"/>
      <c r="L50" s="18">
        <v>0.2</v>
      </c>
      <c r="M50" s="14">
        <f t="shared" si="1"/>
        <v>0</v>
      </c>
      <c r="N50" s="18">
        <f t="shared" si="2"/>
        <v>0.2</v>
      </c>
      <c r="O50" s="14">
        <f t="shared" si="3"/>
        <v>0.2</v>
      </c>
      <c r="P50" s="95" t="e">
        <f t="shared" si="4"/>
        <v>#DIV/0!</v>
      </c>
    </row>
    <row r="51" spans="1:16" ht="36.75" customHeight="1">
      <c r="A51" s="197"/>
      <c r="B51" s="251" t="s">
        <v>294</v>
      </c>
      <c r="C51" s="252"/>
      <c r="D51" s="253"/>
      <c r="E51" s="18"/>
      <c r="F51" s="18"/>
      <c r="G51" s="18"/>
      <c r="H51" s="18"/>
      <c r="I51" s="18"/>
      <c r="J51" s="18"/>
      <c r="K51" s="18"/>
      <c r="L51" s="18">
        <v>0.5</v>
      </c>
      <c r="M51" s="14">
        <f t="shared" si="1"/>
        <v>0</v>
      </c>
      <c r="N51" s="18">
        <f t="shared" si="2"/>
        <v>0.5</v>
      </c>
      <c r="O51" s="14">
        <f t="shared" si="3"/>
        <v>0.5</v>
      </c>
      <c r="P51" s="95" t="e">
        <f t="shared" si="4"/>
        <v>#DIV/0!</v>
      </c>
    </row>
    <row r="52" spans="1:16" ht="45.75" customHeight="1">
      <c r="A52" s="197"/>
      <c r="B52" s="248" t="s">
        <v>295</v>
      </c>
      <c r="C52" s="249"/>
      <c r="D52" s="250"/>
      <c r="E52" s="18"/>
      <c r="F52" s="18"/>
      <c r="G52" s="18"/>
      <c r="H52" s="18"/>
      <c r="I52" s="18"/>
      <c r="J52" s="18"/>
      <c r="K52" s="18"/>
      <c r="L52" s="18">
        <v>0.7</v>
      </c>
      <c r="M52" s="14">
        <f t="shared" si="1"/>
        <v>0</v>
      </c>
      <c r="N52" s="18">
        <f t="shared" si="2"/>
        <v>0.7</v>
      </c>
      <c r="O52" s="14">
        <f t="shared" si="3"/>
        <v>0.7</v>
      </c>
      <c r="P52" s="95" t="e">
        <f t="shared" si="4"/>
        <v>#DIV/0!</v>
      </c>
    </row>
    <row r="53" spans="1:16" ht="36.75" customHeight="1">
      <c r="A53" s="197"/>
      <c r="B53" s="251" t="s">
        <v>296</v>
      </c>
      <c r="C53" s="252"/>
      <c r="D53" s="253"/>
      <c r="E53" s="18"/>
      <c r="F53" s="18"/>
      <c r="G53" s="18"/>
      <c r="H53" s="18"/>
      <c r="I53" s="18"/>
      <c r="J53" s="18"/>
      <c r="K53" s="18"/>
      <c r="L53" s="18">
        <v>1.9</v>
      </c>
      <c r="M53" s="14">
        <f t="shared" si="1"/>
        <v>0</v>
      </c>
      <c r="N53" s="18">
        <f t="shared" si="2"/>
        <v>1.9</v>
      </c>
      <c r="O53" s="14">
        <f t="shared" si="3"/>
        <v>1.9</v>
      </c>
      <c r="P53" s="95" t="e">
        <f t="shared" si="4"/>
        <v>#DIV/0!</v>
      </c>
    </row>
    <row r="54" spans="1:16" ht="36.75" customHeight="1">
      <c r="A54" s="197"/>
      <c r="B54" s="251" t="s">
        <v>297</v>
      </c>
      <c r="C54" s="252"/>
      <c r="D54" s="253"/>
      <c r="E54" s="18"/>
      <c r="F54" s="18"/>
      <c r="G54" s="18"/>
      <c r="H54" s="18"/>
      <c r="I54" s="18"/>
      <c r="J54" s="18"/>
      <c r="K54" s="18"/>
      <c r="L54" s="18">
        <v>2.1</v>
      </c>
      <c r="M54" s="14">
        <f t="shared" si="1"/>
        <v>0</v>
      </c>
      <c r="N54" s="18">
        <f t="shared" si="2"/>
        <v>2.1</v>
      </c>
      <c r="O54" s="14">
        <f t="shared" si="3"/>
        <v>2.1</v>
      </c>
      <c r="P54" s="95" t="e">
        <f t="shared" si="4"/>
        <v>#DIV/0!</v>
      </c>
    </row>
    <row r="55" spans="1:16" ht="36.75" customHeight="1">
      <c r="A55" s="197"/>
      <c r="B55" s="251" t="s">
        <v>298</v>
      </c>
      <c r="C55" s="252"/>
      <c r="D55" s="253"/>
      <c r="E55" s="18"/>
      <c r="F55" s="18"/>
      <c r="G55" s="18"/>
      <c r="H55" s="18"/>
      <c r="I55" s="18"/>
      <c r="J55" s="18"/>
      <c r="K55" s="18"/>
      <c r="L55" s="18">
        <v>1.7</v>
      </c>
      <c r="M55" s="14">
        <f t="shared" ref="M55:M118" si="7">E55+G55+I55+K55</f>
        <v>0</v>
      </c>
      <c r="N55" s="18">
        <f t="shared" ref="N55:N118" si="8">F55+H55+J55+L55</f>
        <v>1.7</v>
      </c>
      <c r="O55" s="14">
        <f t="shared" ref="O55:O118" si="9">N55-M55</f>
        <v>1.7</v>
      </c>
      <c r="P55" s="95" t="e">
        <f t="shared" ref="P55:P118" si="10">(N55/M55)*100</f>
        <v>#DIV/0!</v>
      </c>
    </row>
    <row r="56" spans="1:16" ht="36.75" customHeight="1">
      <c r="A56" s="197"/>
      <c r="B56" s="251" t="s">
        <v>299</v>
      </c>
      <c r="C56" s="252"/>
      <c r="D56" s="253"/>
      <c r="E56" s="18"/>
      <c r="F56" s="18"/>
      <c r="G56" s="18"/>
      <c r="H56" s="18"/>
      <c r="I56" s="18"/>
      <c r="J56" s="18"/>
      <c r="K56" s="18"/>
      <c r="L56" s="18">
        <v>1</v>
      </c>
      <c r="M56" s="14">
        <f t="shared" si="7"/>
        <v>0</v>
      </c>
      <c r="N56" s="18">
        <f t="shared" si="8"/>
        <v>1</v>
      </c>
      <c r="O56" s="14">
        <f t="shared" si="9"/>
        <v>1</v>
      </c>
      <c r="P56" s="95" t="e">
        <f t="shared" si="10"/>
        <v>#DIV/0!</v>
      </c>
    </row>
    <row r="57" spans="1:16" ht="36.75" customHeight="1">
      <c r="A57" s="197"/>
      <c r="B57" s="251" t="s">
        <v>463</v>
      </c>
      <c r="C57" s="252"/>
      <c r="D57" s="253"/>
      <c r="E57" s="18"/>
      <c r="F57" s="18"/>
      <c r="G57" s="18"/>
      <c r="H57" s="18"/>
      <c r="I57" s="18"/>
      <c r="J57" s="18"/>
      <c r="K57" s="18"/>
      <c r="L57" s="18">
        <v>1.3</v>
      </c>
      <c r="M57" s="14">
        <f t="shared" si="7"/>
        <v>0</v>
      </c>
      <c r="N57" s="18">
        <f t="shared" si="8"/>
        <v>1.3</v>
      </c>
      <c r="O57" s="14">
        <f t="shared" si="9"/>
        <v>1.3</v>
      </c>
      <c r="P57" s="95" t="e">
        <f t="shared" si="10"/>
        <v>#DIV/0!</v>
      </c>
    </row>
    <row r="58" spans="1:16" ht="36.75" customHeight="1">
      <c r="A58" s="197"/>
      <c r="B58" s="251" t="s">
        <v>300</v>
      </c>
      <c r="C58" s="252"/>
      <c r="D58" s="253"/>
      <c r="E58" s="18"/>
      <c r="F58" s="18"/>
      <c r="G58" s="18"/>
      <c r="H58" s="18"/>
      <c r="I58" s="18"/>
      <c r="J58" s="18"/>
      <c r="K58" s="18"/>
      <c r="L58" s="18">
        <v>0.4</v>
      </c>
      <c r="M58" s="14">
        <f t="shared" si="7"/>
        <v>0</v>
      </c>
      <c r="N58" s="18">
        <f t="shared" si="8"/>
        <v>0.4</v>
      </c>
      <c r="O58" s="14">
        <f t="shared" si="9"/>
        <v>0.4</v>
      </c>
      <c r="P58" s="95" t="e">
        <f t="shared" si="10"/>
        <v>#DIV/0!</v>
      </c>
    </row>
    <row r="59" spans="1:16" ht="36.75" customHeight="1">
      <c r="A59" s="197"/>
      <c r="B59" s="251" t="s">
        <v>301</v>
      </c>
      <c r="C59" s="252"/>
      <c r="D59" s="253"/>
      <c r="E59" s="18"/>
      <c r="F59" s="18"/>
      <c r="G59" s="18"/>
      <c r="H59" s="18"/>
      <c r="I59" s="18"/>
      <c r="J59" s="18"/>
      <c r="K59" s="18"/>
      <c r="L59" s="18">
        <v>2.2000000000000002</v>
      </c>
      <c r="M59" s="14">
        <f t="shared" si="7"/>
        <v>0</v>
      </c>
      <c r="N59" s="18">
        <f t="shared" si="8"/>
        <v>2.2000000000000002</v>
      </c>
      <c r="O59" s="14">
        <f t="shared" si="9"/>
        <v>2.2000000000000002</v>
      </c>
      <c r="P59" s="95" t="e">
        <f t="shared" si="10"/>
        <v>#DIV/0!</v>
      </c>
    </row>
    <row r="60" spans="1:16" ht="26.25" customHeight="1">
      <c r="A60" s="197"/>
      <c r="B60" s="251" t="s">
        <v>302</v>
      </c>
      <c r="C60" s="252"/>
      <c r="D60" s="253"/>
      <c r="E60" s="18"/>
      <c r="F60" s="18"/>
      <c r="G60" s="18"/>
      <c r="H60" s="18"/>
      <c r="I60" s="18"/>
      <c r="J60" s="18"/>
      <c r="K60" s="18"/>
      <c r="L60" s="18">
        <v>1.1000000000000001</v>
      </c>
      <c r="M60" s="14">
        <f t="shared" si="7"/>
        <v>0</v>
      </c>
      <c r="N60" s="18">
        <f t="shared" si="8"/>
        <v>1.1000000000000001</v>
      </c>
      <c r="O60" s="14">
        <f t="shared" si="9"/>
        <v>1.1000000000000001</v>
      </c>
      <c r="P60" s="95" t="e">
        <f t="shared" si="10"/>
        <v>#DIV/0!</v>
      </c>
    </row>
    <row r="61" spans="1:16" ht="63" customHeight="1">
      <c r="A61" s="197"/>
      <c r="B61" s="248" t="s">
        <v>303</v>
      </c>
      <c r="C61" s="249"/>
      <c r="D61" s="250"/>
      <c r="E61" s="18"/>
      <c r="F61" s="18"/>
      <c r="G61" s="18"/>
      <c r="H61" s="18"/>
      <c r="I61" s="18"/>
      <c r="J61" s="18"/>
      <c r="K61" s="18"/>
      <c r="L61" s="18">
        <v>1.7</v>
      </c>
      <c r="M61" s="14">
        <f t="shared" si="7"/>
        <v>0</v>
      </c>
      <c r="N61" s="18">
        <f t="shared" si="8"/>
        <v>1.7</v>
      </c>
      <c r="O61" s="14">
        <f t="shared" si="9"/>
        <v>1.7</v>
      </c>
      <c r="P61" s="95" t="e">
        <f t="shared" si="10"/>
        <v>#DIV/0!</v>
      </c>
    </row>
    <row r="62" spans="1:16" ht="30.75" customHeight="1">
      <c r="A62" s="197"/>
      <c r="B62" s="251" t="s">
        <v>304</v>
      </c>
      <c r="C62" s="252"/>
      <c r="D62" s="253"/>
      <c r="E62" s="18"/>
      <c r="F62" s="18"/>
      <c r="G62" s="18"/>
      <c r="H62" s="18"/>
      <c r="I62" s="18"/>
      <c r="J62" s="18"/>
      <c r="K62" s="18"/>
      <c r="L62" s="18">
        <v>2.1</v>
      </c>
      <c r="M62" s="14">
        <f t="shared" si="7"/>
        <v>0</v>
      </c>
      <c r="N62" s="18">
        <f t="shared" si="8"/>
        <v>2.1</v>
      </c>
      <c r="O62" s="14">
        <f t="shared" si="9"/>
        <v>2.1</v>
      </c>
      <c r="P62" s="95" t="e">
        <f t="shared" si="10"/>
        <v>#DIV/0!</v>
      </c>
    </row>
    <row r="63" spans="1:16" ht="30.75" customHeight="1">
      <c r="A63" s="197"/>
      <c r="B63" s="251" t="s">
        <v>305</v>
      </c>
      <c r="C63" s="252"/>
      <c r="D63" s="253"/>
      <c r="E63" s="18"/>
      <c r="F63" s="18"/>
      <c r="G63" s="18"/>
      <c r="H63" s="18"/>
      <c r="I63" s="18"/>
      <c r="J63" s="18"/>
      <c r="K63" s="18"/>
      <c r="L63" s="18">
        <v>2.9</v>
      </c>
      <c r="M63" s="14">
        <f t="shared" si="7"/>
        <v>0</v>
      </c>
      <c r="N63" s="18">
        <f t="shared" si="8"/>
        <v>2.9</v>
      </c>
      <c r="O63" s="14">
        <f t="shared" si="9"/>
        <v>2.9</v>
      </c>
      <c r="P63" s="95" t="e">
        <f t="shared" si="10"/>
        <v>#DIV/0!</v>
      </c>
    </row>
    <row r="64" spans="1:16" ht="29.25" customHeight="1">
      <c r="A64" s="197"/>
      <c r="B64" s="251" t="s">
        <v>306</v>
      </c>
      <c r="C64" s="252"/>
      <c r="D64" s="253"/>
      <c r="E64" s="18"/>
      <c r="F64" s="18"/>
      <c r="G64" s="18"/>
      <c r="H64" s="18"/>
      <c r="I64" s="18"/>
      <c r="J64" s="18"/>
      <c r="K64" s="18"/>
      <c r="L64" s="18">
        <v>0.7</v>
      </c>
      <c r="M64" s="14">
        <f t="shared" si="7"/>
        <v>0</v>
      </c>
      <c r="N64" s="18">
        <f t="shared" si="8"/>
        <v>0.7</v>
      </c>
      <c r="O64" s="14">
        <f t="shared" si="9"/>
        <v>0.7</v>
      </c>
      <c r="P64" s="95" t="e">
        <f t="shared" si="10"/>
        <v>#DIV/0!</v>
      </c>
    </row>
    <row r="65" spans="1:16" ht="29.25" customHeight="1">
      <c r="A65" s="197"/>
      <c r="B65" s="251" t="s">
        <v>464</v>
      </c>
      <c r="C65" s="252"/>
      <c r="D65" s="253"/>
      <c r="E65" s="18"/>
      <c r="F65" s="18"/>
      <c r="G65" s="18"/>
      <c r="H65" s="18"/>
      <c r="I65" s="18"/>
      <c r="J65" s="18"/>
      <c r="K65" s="18"/>
      <c r="L65" s="18">
        <v>1.2</v>
      </c>
      <c r="M65" s="14">
        <f t="shared" si="7"/>
        <v>0</v>
      </c>
      <c r="N65" s="18">
        <f t="shared" si="8"/>
        <v>1.2</v>
      </c>
      <c r="O65" s="14">
        <f t="shared" si="9"/>
        <v>1.2</v>
      </c>
      <c r="P65" s="95" t="e">
        <f t="shared" si="10"/>
        <v>#DIV/0!</v>
      </c>
    </row>
    <row r="66" spans="1:16" ht="27" customHeight="1">
      <c r="A66" s="197"/>
      <c r="B66" s="251" t="s">
        <v>307</v>
      </c>
      <c r="C66" s="252"/>
      <c r="D66" s="253"/>
      <c r="E66" s="18"/>
      <c r="F66" s="18"/>
      <c r="G66" s="18"/>
      <c r="H66" s="18"/>
      <c r="I66" s="18"/>
      <c r="J66" s="18"/>
      <c r="K66" s="18"/>
      <c r="L66" s="18">
        <v>0.2</v>
      </c>
      <c r="M66" s="14">
        <f t="shared" si="7"/>
        <v>0</v>
      </c>
      <c r="N66" s="18">
        <f t="shared" si="8"/>
        <v>0.2</v>
      </c>
      <c r="O66" s="14">
        <f t="shared" si="9"/>
        <v>0.2</v>
      </c>
      <c r="P66" s="95" t="e">
        <f t="shared" si="10"/>
        <v>#DIV/0!</v>
      </c>
    </row>
    <row r="67" spans="1:16" ht="55.5" customHeight="1">
      <c r="A67" s="197"/>
      <c r="B67" s="248" t="s">
        <v>308</v>
      </c>
      <c r="C67" s="249"/>
      <c r="D67" s="250"/>
      <c r="E67" s="18"/>
      <c r="F67" s="18"/>
      <c r="G67" s="18"/>
      <c r="H67" s="18"/>
      <c r="I67" s="18"/>
      <c r="J67" s="18">
        <v>4.5</v>
      </c>
      <c r="K67" s="18"/>
      <c r="L67" s="18"/>
      <c r="M67" s="14">
        <f t="shared" si="7"/>
        <v>0</v>
      </c>
      <c r="N67" s="18">
        <f t="shared" si="8"/>
        <v>4.5</v>
      </c>
      <c r="O67" s="14">
        <f t="shared" si="9"/>
        <v>4.5</v>
      </c>
      <c r="P67" s="95" t="e">
        <f t="shared" si="10"/>
        <v>#DIV/0!</v>
      </c>
    </row>
    <row r="68" spans="1:16" ht="28.5" customHeight="1">
      <c r="A68" s="197"/>
      <c r="B68" s="251" t="s">
        <v>309</v>
      </c>
      <c r="C68" s="252"/>
      <c r="D68" s="253"/>
      <c r="E68" s="18"/>
      <c r="F68" s="18"/>
      <c r="G68" s="18"/>
      <c r="H68" s="18"/>
      <c r="I68" s="18"/>
      <c r="J68" s="18"/>
      <c r="K68" s="18"/>
      <c r="L68" s="18">
        <v>1.2</v>
      </c>
      <c r="M68" s="14">
        <f t="shared" si="7"/>
        <v>0</v>
      </c>
      <c r="N68" s="18">
        <f t="shared" si="8"/>
        <v>1.2</v>
      </c>
      <c r="O68" s="14">
        <f t="shared" si="9"/>
        <v>1.2</v>
      </c>
      <c r="P68" s="95" t="e">
        <f t="shared" si="10"/>
        <v>#DIV/0!</v>
      </c>
    </row>
    <row r="69" spans="1:16" ht="28.5" customHeight="1">
      <c r="A69" s="197"/>
      <c r="B69" s="251" t="s">
        <v>310</v>
      </c>
      <c r="C69" s="252"/>
      <c r="D69" s="253"/>
      <c r="E69" s="18"/>
      <c r="F69" s="18"/>
      <c r="G69" s="18"/>
      <c r="H69" s="18"/>
      <c r="I69" s="18"/>
      <c r="J69" s="18"/>
      <c r="K69" s="18"/>
      <c r="L69" s="18">
        <v>0.7</v>
      </c>
      <c r="M69" s="14">
        <f t="shared" si="7"/>
        <v>0</v>
      </c>
      <c r="N69" s="18">
        <f t="shared" si="8"/>
        <v>0.7</v>
      </c>
      <c r="O69" s="14">
        <f t="shared" si="9"/>
        <v>0.7</v>
      </c>
      <c r="P69" s="95" t="e">
        <f t="shared" si="10"/>
        <v>#DIV/0!</v>
      </c>
    </row>
    <row r="70" spans="1:16" ht="29.25" customHeight="1">
      <c r="A70" s="197"/>
      <c r="B70" s="251" t="s">
        <v>311</v>
      </c>
      <c r="C70" s="252"/>
      <c r="D70" s="253"/>
      <c r="E70" s="18"/>
      <c r="F70" s="18"/>
      <c r="G70" s="18"/>
      <c r="H70" s="18"/>
      <c r="I70" s="18"/>
      <c r="J70" s="18"/>
      <c r="K70" s="18"/>
      <c r="L70" s="18">
        <v>1</v>
      </c>
      <c r="M70" s="14">
        <f t="shared" si="7"/>
        <v>0</v>
      </c>
      <c r="N70" s="18">
        <f t="shared" si="8"/>
        <v>1</v>
      </c>
      <c r="O70" s="14">
        <f t="shared" si="9"/>
        <v>1</v>
      </c>
      <c r="P70" s="95" t="e">
        <f t="shared" si="10"/>
        <v>#DIV/0!</v>
      </c>
    </row>
    <row r="71" spans="1:16" ht="30.75" customHeight="1">
      <c r="A71" s="197"/>
      <c r="B71" s="251" t="s">
        <v>312</v>
      </c>
      <c r="C71" s="252"/>
      <c r="D71" s="253"/>
      <c r="E71" s="18"/>
      <c r="F71" s="18"/>
      <c r="G71" s="18"/>
      <c r="H71" s="18"/>
      <c r="I71" s="18"/>
      <c r="J71" s="18"/>
      <c r="K71" s="18"/>
      <c r="L71" s="18">
        <v>14.7</v>
      </c>
      <c r="M71" s="14">
        <f t="shared" si="7"/>
        <v>0</v>
      </c>
      <c r="N71" s="18">
        <f t="shared" si="8"/>
        <v>14.7</v>
      </c>
      <c r="O71" s="14">
        <f t="shared" si="9"/>
        <v>14.7</v>
      </c>
      <c r="P71" s="95" t="e">
        <f t="shared" si="10"/>
        <v>#DIV/0!</v>
      </c>
    </row>
    <row r="72" spans="1:16" ht="36" customHeight="1">
      <c r="A72" s="197"/>
      <c r="B72" s="248" t="s">
        <v>313</v>
      </c>
      <c r="C72" s="249"/>
      <c r="D72" s="250"/>
      <c r="E72" s="18"/>
      <c r="F72" s="18"/>
      <c r="G72" s="18"/>
      <c r="H72" s="18"/>
      <c r="I72" s="18"/>
      <c r="J72" s="18"/>
      <c r="K72" s="18"/>
      <c r="L72" s="18">
        <v>17.399999999999999</v>
      </c>
      <c r="M72" s="14">
        <f t="shared" si="7"/>
        <v>0</v>
      </c>
      <c r="N72" s="18">
        <f t="shared" si="8"/>
        <v>17.399999999999999</v>
      </c>
      <c r="O72" s="14">
        <f t="shared" si="9"/>
        <v>17.399999999999999</v>
      </c>
      <c r="P72" s="95" t="e">
        <f t="shared" si="10"/>
        <v>#DIV/0!</v>
      </c>
    </row>
    <row r="73" spans="1:16" ht="30.75" customHeight="1">
      <c r="A73" s="197"/>
      <c r="B73" s="248" t="s">
        <v>314</v>
      </c>
      <c r="C73" s="249"/>
      <c r="D73" s="250"/>
      <c r="E73" s="18"/>
      <c r="F73" s="18"/>
      <c r="G73" s="18"/>
      <c r="H73" s="18"/>
      <c r="I73" s="18"/>
      <c r="J73" s="18"/>
      <c r="K73" s="18"/>
      <c r="L73" s="18">
        <v>18.8</v>
      </c>
      <c r="M73" s="14">
        <f t="shared" si="7"/>
        <v>0</v>
      </c>
      <c r="N73" s="18">
        <f t="shared" si="8"/>
        <v>18.8</v>
      </c>
      <c r="O73" s="14">
        <f t="shared" si="9"/>
        <v>18.8</v>
      </c>
      <c r="P73" s="95" t="e">
        <f t="shared" si="10"/>
        <v>#DIV/0!</v>
      </c>
    </row>
    <row r="74" spans="1:16" ht="34.5" customHeight="1">
      <c r="A74" s="197"/>
      <c r="B74" s="248" t="s">
        <v>315</v>
      </c>
      <c r="C74" s="249"/>
      <c r="D74" s="250"/>
      <c r="E74" s="18"/>
      <c r="F74" s="18"/>
      <c r="G74" s="18"/>
      <c r="H74" s="18"/>
      <c r="I74" s="18"/>
      <c r="J74" s="18"/>
      <c r="K74" s="18"/>
      <c r="L74" s="18">
        <v>6.9</v>
      </c>
      <c r="M74" s="14">
        <f t="shared" si="7"/>
        <v>0</v>
      </c>
      <c r="N74" s="18">
        <f t="shared" si="8"/>
        <v>6.9</v>
      </c>
      <c r="O74" s="14">
        <f t="shared" si="9"/>
        <v>6.9</v>
      </c>
      <c r="P74" s="95" t="e">
        <f t="shared" si="10"/>
        <v>#DIV/0!</v>
      </c>
    </row>
    <row r="75" spans="1:16" ht="43.5" customHeight="1">
      <c r="A75" s="197"/>
      <c r="B75" s="248" t="s">
        <v>465</v>
      </c>
      <c r="C75" s="249"/>
      <c r="D75" s="250"/>
      <c r="E75" s="18"/>
      <c r="F75" s="18"/>
      <c r="G75" s="18"/>
      <c r="H75" s="18"/>
      <c r="I75" s="18"/>
      <c r="J75" s="18"/>
      <c r="K75" s="18"/>
      <c r="L75" s="18">
        <v>29.8</v>
      </c>
      <c r="M75" s="14">
        <f t="shared" si="7"/>
        <v>0</v>
      </c>
      <c r="N75" s="18">
        <f t="shared" si="8"/>
        <v>29.8</v>
      </c>
      <c r="O75" s="14">
        <f t="shared" si="9"/>
        <v>29.8</v>
      </c>
      <c r="P75" s="95" t="e">
        <f t="shared" si="10"/>
        <v>#DIV/0!</v>
      </c>
    </row>
    <row r="76" spans="1:16" ht="39.75" customHeight="1">
      <c r="A76" s="197"/>
      <c r="B76" s="248" t="s">
        <v>427</v>
      </c>
      <c r="C76" s="249"/>
      <c r="D76" s="250"/>
      <c r="E76" s="18"/>
      <c r="F76" s="18"/>
      <c r="G76" s="18"/>
      <c r="H76" s="18"/>
      <c r="I76" s="18"/>
      <c r="J76" s="18"/>
      <c r="K76" s="18"/>
      <c r="L76" s="18">
        <v>12.4</v>
      </c>
      <c r="M76" s="14">
        <f t="shared" si="7"/>
        <v>0</v>
      </c>
      <c r="N76" s="18">
        <f t="shared" si="8"/>
        <v>12.4</v>
      </c>
      <c r="O76" s="14">
        <f t="shared" si="9"/>
        <v>12.4</v>
      </c>
      <c r="P76" s="95" t="e">
        <f t="shared" si="10"/>
        <v>#DIV/0!</v>
      </c>
    </row>
    <row r="77" spans="1:16" ht="48" customHeight="1">
      <c r="A77" s="197"/>
      <c r="B77" s="248" t="s">
        <v>428</v>
      </c>
      <c r="C77" s="249"/>
      <c r="D77" s="250"/>
      <c r="E77" s="18"/>
      <c r="F77" s="18"/>
      <c r="G77" s="18"/>
      <c r="H77" s="18"/>
      <c r="I77" s="18"/>
      <c r="J77" s="18"/>
      <c r="K77" s="18"/>
      <c r="L77" s="18">
        <v>5.2</v>
      </c>
      <c r="M77" s="14">
        <f t="shared" si="7"/>
        <v>0</v>
      </c>
      <c r="N77" s="18">
        <f t="shared" si="8"/>
        <v>5.2</v>
      </c>
      <c r="O77" s="14">
        <f t="shared" si="9"/>
        <v>5.2</v>
      </c>
      <c r="P77" s="95" t="e">
        <f t="shared" si="10"/>
        <v>#DIV/0!</v>
      </c>
    </row>
    <row r="78" spans="1:16" ht="48" customHeight="1">
      <c r="A78" s="197"/>
      <c r="B78" s="248" t="s">
        <v>429</v>
      </c>
      <c r="C78" s="249"/>
      <c r="D78" s="250"/>
      <c r="E78" s="18"/>
      <c r="F78" s="18"/>
      <c r="G78" s="18"/>
      <c r="H78" s="18"/>
      <c r="I78" s="18"/>
      <c r="J78" s="18"/>
      <c r="K78" s="18"/>
      <c r="L78" s="18">
        <v>12.4</v>
      </c>
      <c r="M78" s="14">
        <f t="shared" si="7"/>
        <v>0</v>
      </c>
      <c r="N78" s="18">
        <f t="shared" si="8"/>
        <v>12.4</v>
      </c>
      <c r="O78" s="14">
        <f t="shared" si="9"/>
        <v>12.4</v>
      </c>
      <c r="P78" s="95" t="e">
        <f t="shared" si="10"/>
        <v>#DIV/0!</v>
      </c>
    </row>
    <row r="79" spans="1:16" ht="39.75" customHeight="1">
      <c r="A79" s="197"/>
      <c r="B79" s="248" t="s">
        <v>430</v>
      </c>
      <c r="C79" s="249"/>
      <c r="D79" s="250"/>
      <c r="E79" s="18"/>
      <c r="F79" s="18"/>
      <c r="G79" s="18"/>
      <c r="H79" s="18"/>
      <c r="I79" s="18"/>
      <c r="J79" s="18"/>
      <c r="K79" s="18"/>
      <c r="L79" s="18">
        <v>5.2</v>
      </c>
      <c r="M79" s="14">
        <f t="shared" si="7"/>
        <v>0</v>
      </c>
      <c r="N79" s="18">
        <f t="shared" si="8"/>
        <v>5.2</v>
      </c>
      <c r="O79" s="14">
        <f t="shared" si="9"/>
        <v>5.2</v>
      </c>
      <c r="P79" s="95" t="e">
        <f t="shared" si="10"/>
        <v>#DIV/0!</v>
      </c>
    </row>
    <row r="80" spans="1:16" ht="45.75" customHeight="1">
      <c r="A80" s="197"/>
      <c r="B80" s="248" t="s">
        <v>316</v>
      </c>
      <c r="C80" s="249"/>
      <c r="D80" s="250"/>
      <c r="E80" s="18"/>
      <c r="F80" s="18"/>
      <c r="G80" s="18"/>
      <c r="H80" s="18"/>
      <c r="I80" s="18"/>
      <c r="J80" s="18"/>
      <c r="K80" s="18"/>
      <c r="L80" s="18">
        <v>7</v>
      </c>
      <c r="M80" s="14">
        <f t="shared" si="7"/>
        <v>0</v>
      </c>
      <c r="N80" s="18">
        <f t="shared" si="8"/>
        <v>7</v>
      </c>
      <c r="O80" s="14">
        <f t="shared" si="9"/>
        <v>7</v>
      </c>
      <c r="P80" s="95" t="e">
        <f t="shared" si="10"/>
        <v>#DIV/0!</v>
      </c>
    </row>
    <row r="81" spans="1:16" ht="43.5" customHeight="1">
      <c r="A81" s="197"/>
      <c r="B81" s="248" t="s">
        <v>317</v>
      </c>
      <c r="C81" s="249"/>
      <c r="D81" s="250"/>
      <c r="E81" s="18"/>
      <c r="F81" s="18"/>
      <c r="G81" s="18"/>
      <c r="H81" s="18"/>
      <c r="I81" s="18"/>
      <c r="J81" s="18"/>
      <c r="K81" s="18"/>
      <c r="L81" s="18">
        <v>2.9</v>
      </c>
      <c r="M81" s="14">
        <f t="shared" si="7"/>
        <v>0</v>
      </c>
      <c r="N81" s="18">
        <f t="shared" si="8"/>
        <v>2.9</v>
      </c>
      <c r="O81" s="14">
        <f t="shared" si="9"/>
        <v>2.9</v>
      </c>
      <c r="P81" s="95" t="e">
        <f t="shared" si="10"/>
        <v>#DIV/0!</v>
      </c>
    </row>
    <row r="82" spans="1:16" ht="42" customHeight="1">
      <c r="A82" s="197"/>
      <c r="B82" s="248" t="s">
        <v>318</v>
      </c>
      <c r="C82" s="249"/>
      <c r="D82" s="250"/>
      <c r="E82" s="18"/>
      <c r="F82" s="18"/>
      <c r="G82" s="18"/>
      <c r="H82" s="18"/>
      <c r="I82" s="18"/>
      <c r="J82" s="18"/>
      <c r="K82" s="18"/>
      <c r="L82" s="18">
        <v>11</v>
      </c>
      <c r="M82" s="14">
        <f t="shared" si="7"/>
        <v>0</v>
      </c>
      <c r="N82" s="18">
        <f t="shared" si="8"/>
        <v>11</v>
      </c>
      <c r="O82" s="14">
        <f t="shared" si="9"/>
        <v>11</v>
      </c>
      <c r="P82" s="95" t="e">
        <f t="shared" si="10"/>
        <v>#DIV/0!</v>
      </c>
    </row>
    <row r="83" spans="1:16" ht="36.75" customHeight="1">
      <c r="A83" s="197"/>
      <c r="B83" s="251" t="s">
        <v>431</v>
      </c>
      <c r="C83" s="252"/>
      <c r="D83" s="253"/>
      <c r="E83" s="18"/>
      <c r="F83" s="18"/>
      <c r="G83" s="18"/>
      <c r="H83" s="18"/>
      <c r="I83" s="18"/>
      <c r="J83" s="18"/>
      <c r="K83" s="18"/>
      <c r="L83" s="18">
        <v>1.6</v>
      </c>
      <c r="M83" s="14">
        <f t="shared" si="7"/>
        <v>0</v>
      </c>
      <c r="N83" s="18">
        <f t="shared" si="8"/>
        <v>1.6</v>
      </c>
      <c r="O83" s="14">
        <f t="shared" si="9"/>
        <v>1.6</v>
      </c>
      <c r="P83" s="95" t="e">
        <f t="shared" si="10"/>
        <v>#DIV/0!</v>
      </c>
    </row>
    <row r="84" spans="1:16" ht="36.75" customHeight="1">
      <c r="A84" s="197"/>
      <c r="B84" s="251" t="s">
        <v>319</v>
      </c>
      <c r="C84" s="252"/>
      <c r="D84" s="253"/>
      <c r="E84" s="18"/>
      <c r="F84" s="18"/>
      <c r="G84" s="18"/>
      <c r="H84" s="18"/>
      <c r="I84" s="18"/>
      <c r="J84" s="18"/>
      <c r="K84" s="18"/>
      <c r="L84" s="18">
        <v>4.8</v>
      </c>
      <c r="M84" s="14">
        <f t="shared" si="7"/>
        <v>0</v>
      </c>
      <c r="N84" s="18">
        <f t="shared" si="8"/>
        <v>4.8</v>
      </c>
      <c r="O84" s="14">
        <f t="shared" si="9"/>
        <v>4.8</v>
      </c>
      <c r="P84" s="95" t="e">
        <f t="shared" si="10"/>
        <v>#DIV/0!</v>
      </c>
    </row>
    <row r="85" spans="1:16" ht="36.75" customHeight="1">
      <c r="A85" s="197"/>
      <c r="B85" s="251" t="s">
        <v>466</v>
      </c>
      <c r="C85" s="252"/>
      <c r="D85" s="253"/>
      <c r="E85" s="18"/>
      <c r="F85" s="18"/>
      <c r="G85" s="18"/>
      <c r="H85" s="18"/>
      <c r="I85" s="18"/>
      <c r="J85" s="18"/>
      <c r="K85" s="18"/>
      <c r="L85" s="18">
        <v>14.3</v>
      </c>
      <c r="M85" s="14">
        <f t="shared" si="7"/>
        <v>0</v>
      </c>
      <c r="N85" s="18">
        <f t="shared" si="8"/>
        <v>14.3</v>
      </c>
      <c r="O85" s="14">
        <f t="shared" si="9"/>
        <v>14.3</v>
      </c>
      <c r="P85" s="95" t="e">
        <f t="shared" si="10"/>
        <v>#DIV/0!</v>
      </c>
    </row>
    <row r="86" spans="1:16" ht="36.75" customHeight="1">
      <c r="A86" s="197"/>
      <c r="B86" s="251" t="s">
        <v>432</v>
      </c>
      <c r="C86" s="252"/>
      <c r="D86" s="253"/>
      <c r="E86" s="18"/>
      <c r="F86" s="18"/>
      <c r="G86" s="18"/>
      <c r="H86" s="18"/>
      <c r="I86" s="18"/>
      <c r="J86" s="18"/>
      <c r="K86" s="18"/>
      <c r="L86" s="18">
        <v>1.4</v>
      </c>
      <c r="M86" s="14">
        <f t="shared" si="7"/>
        <v>0</v>
      </c>
      <c r="N86" s="18">
        <f t="shared" si="8"/>
        <v>1.4</v>
      </c>
      <c r="O86" s="14">
        <f t="shared" si="9"/>
        <v>1.4</v>
      </c>
      <c r="P86" s="95" t="e">
        <f t="shared" si="10"/>
        <v>#DIV/0!</v>
      </c>
    </row>
    <row r="87" spans="1:16" ht="36.75" customHeight="1">
      <c r="A87" s="197"/>
      <c r="B87" s="251" t="s">
        <v>467</v>
      </c>
      <c r="C87" s="252"/>
      <c r="D87" s="253"/>
      <c r="E87" s="18"/>
      <c r="F87" s="18"/>
      <c r="G87" s="18"/>
      <c r="H87" s="18"/>
      <c r="I87" s="18"/>
      <c r="J87" s="18">
        <v>99</v>
      </c>
      <c r="K87" s="18"/>
      <c r="L87" s="18"/>
      <c r="M87" s="14">
        <f t="shared" si="7"/>
        <v>0</v>
      </c>
      <c r="N87" s="18">
        <f t="shared" si="8"/>
        <v>99</v>
      </c>
      <c r="O87" s="14">
        <f t="shared" si="9"/>
        <v>99</v>
      </c>
      <c r="P87" s="95" t="e">
        <f t="shared" si="10"/>
        <v>#DIV/0!</v>
      </c>
    </row>
    <row r="88" spans="1:16" ht="36.75" customHeight="1">
      <c r="A88" s="197"/>
      <c r="B88" s="248" t="s">
        <v>468</v>
      </c>
      <c r="C88" s="249"/>
      <c r="D88" s="250"/>
      <c r="E88" s="18"/>
      <c r="F88" s="18"/>
      <c r="G88" s="18"/>
      <c r="H88" s="18"/>
      <c r="I88" s="18"/>
      <c r="J88" s="18"/>
      <c r="K88" s="18"/>
      <c r="L88" s="18">
        <v>3.4</v>
      </c>
      <c r="M88" s="14">
        <f t="shared" si="7"/>
        <v>0</v>
      </c>
      <c r="N88" s="18">
        <f t="shared" si="8"/>
        <v>3.4</v>
      </c>
      <c r="O88" s="14">
        <f t="shared" si="9"/>
        <v>3.4</v>
      </c>
      <c r="P88" s="95" t="e">
        <f t="shared" si="10"/>
        <v>#DIV/0!</v>
      </c>
    </row>
    <row r="89" spans="1:16" ht="36.75" customHeight="1">
      <c r="A89" s="197"/>
      <c r="B89" s="248" t="s">
        <v>469</v>
      </c>
      <c r="C89" s="249"/>
      <c r="D89" s="250"/>
      <c r="E89" s="18"/>
      <c r="F89" s="18"/>
      <c r="G89" s="18"/>
      <c r="H89" s="18"/>
      <c r="I89" s="18"/>
      <c r="J89" s="18"/>
      <c r="K89" s="18"/>
      <c r="L89" s="18">
        <v>2.2000000000000002</v>
      </c>
      <c r="M89" s="14">
        <f t="shared" si="7"/>
        <v>0</v>
      </c>
      <c r="N89" s="18">
        <f t="shared" si="8"/>
        <v>2.2000000000000002</v>
      </c>
      <c r="O89" s="14">
        <f t="shared" si="9"/>
        <v>2.2000000000000002</v>
      </c>
      <c r="P89" s="95" t="e">
        <f t="shared" si="10"/>
        <v>#DIV/0!</v>
      </c>
    </row>
    <row r="90" spans="1:16" ht="36.75" customHeight="1">
      <c r="A90" s="197"/>
      <c r="B90" s="251" t="s">
        <v>470</v>
      </c>
      <c r="C90" s="252"/>
      <c r="D90" s="253"/>
      <c r="E90" s="18"/>
      <c r="F90" s="18"/>
      <c r="G90" s="18"/>
      <c r="H90" s="18"/>
      <c r="I90" s="18"/>
      <c r="J90" s="18"/>
      <c r="K90" s="18"/>
      <c r="L90" s="18">
        <v>3.6</v>
      </c>
      <c r="M90" s="14">
        <f t="shared" si="7"/>
        <v>0</v>
      </c>
      <c r="N90" s="18">
        <f t="shared" si="8"/>
        <v>3.6</v>
      </c>
      <c r="O90" s="14">
        <f t="shared" si="9"/>
        <v>3.6</v>
      </c>
      <c r="P90" s="95" t="e">
        <f t="shared" si="10"/>
        <v>#DIV/0!</v>
      </c>
    </row>
    <row r="91" spans="1:16" ht="36.75" customHeight="1">
      <c r="A91" s="197"/>
      <c r="B91" s="251" t="s">
        <v>471</v>
      </c>
      <c r="C91" s="252"/>
      <c r="D91" s="253"/>
      <c r="E91" s="18"/>
      <c r="F91" s="18"/>
      <c r="G91" s="18"/>
      <c r="H91" s="18"/>
      <c r="I91" s="18"/>
      <c r="J91" s="18"/>
      <c r="K91" s="18"/>
      <c r="L91" s="18">
        <v>0.3</v>
      </c>
      <c r="M91" s="14">
        <f t="shared" si="7"/>
        <v>0</v>
      </c>
      <c r="N91" s="18">
        <f t="shared" si="8"/>
        <v>0.3</v>
      </c>
      <c r="O91" s="14">
        <f t="shared" si="9"/>
        <v>0.3</v>
      </c>
      <c r="P91" s="95" t="e">
        <f t="shared" si="10"/>
        <v>#DIV/0!</v>
      </c>
    </row>
    <row r="92" spans="1:16" ht="36.75" customHeight="1">
      <c r="A92" s="197"/>
      <c r="B92" s="251" t="s">
        <v>472</v>
      </c>
      <c r="C92" s="252"/>
      <c r="D92" s="253"/>
      <c r="E92" s="18"/>
      <c r="F92" s="18"/>
      <c r="G92" s="18"/>
      <c r="H92" s="18"/>
      <c r="I92" s="18"/>
      <c r="J92" s="18"/>
      <c r="K92" s="18"/>
      <c r="L92" s="18">
        <v>1</v>
      </c>
      <c r="M92" s="14">
        <f t="shared" si="7"/>
        <v>0</v>
      </c>
      <c r="N92" s="18">
        <f t="shared" si="8"/>
        <v>1</v>
      </c>
      <c r="O92" s="14">
        <f t="shared" si="9"/>
        <v>1</v>
      </c>
      <c r="P92" s="95" t="e">
        <f t="shared" si="10"/>
        <v>#DIV/0!</v>
      </c>
    </row>
    <row r="93" spans="1:16" ht="36.75" customHeight="1">
      <c r="A93" s="197"/>
      <c r="B93" s="251" t="s">
        <v>473</v>
      </c>
      <c r="C93" s="252"/>
      <c r="D93" s="253"/>
      <c r="E93" s="18"/>
      <c r="F93" s="18"/>
      <c r="G93" s="18"/>
      <c r="H93" s="18"/>
      <c r="I93" s="18"/>
      <c r="J93" s="18"/>
      <c r="K93" s="18"/>
      <c r="L93" s="18">
        <v>1.3</v>
      </c>
      <c r="M93" s="14">
        <f t="shared" si="7"/>
        <v>0</v>
      </c>
      <c r="N93" s="18">
        <f t="shared" si="8"/>
        <v>1.3</v>
      </c>
      <c r="O93" s="14">
        <f t="shared" si="9"/>
        <v>1.3</v>
      </c>
      <c r="P93" s="95" t="e">
        <f t="shared" si="10"/>
        <v>#DIV/0!</v>
      </c>
    </row>
    <row r="94" spans="1:16" ht="36.75" customHeight="1">
      <c r="A94" s="197"/>
      <c r="B94" s="251" t="s">
        <v>433</v>
      </c>
      <c r="C94" s="252"/>
      <c r="D94" s="253"/>
      <c r="E94" s="18"/>
      <c r="F94" s="18"/>
      <c r="G94" s="18"/>
      <c r="H94" s="18"/>
      <c r="I94" s="18"/>
      <c r="J94" s="18"/>
      <c r="K94" s="18"/>
      <c r="L94" s="18">
        <v>1.2</v>
      </c>
      <c r="M94" s="14">
        <f t="shared" si="7"/>
        <v>0</v>
      </c>
      <c r="N94" s="18">
        <f t="shared" si="8"/>
        <v>1.2</v>
      </c>
      <c r="O94" s="14">
        <f t="shared" si="9"/>
        <v>1.2</v>
      </c>
      <c r="P94" s="95" t="e">
        <f t="shared" si="10"/>
        <v>#DIV/0!</v>
      </c>
    </row>
    <row r="95" spans="1:16" ht="27" customHeight="1">
      <c r="A95" s="197"/>
      <c r="B95" s="251" t="s">
        <v>434</v>
      </c>
      <c r="C95" s="252"/>
      <c r="D95" s="253"/>
      <c r="E95" s="18"/>
      <c r="F95" s="18"/>
      <c r="G95" s="18"/>
      <c r="H95" s="18"/>
      <c r="I95" s="18"/>
      <c r="J95" s="18"/>
      <c r="K95" s="18"/>
      <c r="L95" s="18">
        <v>5.2</v>
      </c>
      <c r="M95" s="14">
        <f t="shared" si="7"/>
        <v>0</v>
      </c>
      <c r="N95" s="18">
        <f t="shared" si="8"/>
        <v>5.2</v>
      </c>
      <c r="O95" s="14">
        <f t="shared" si="9"/>
        <v>5.2</v>
      </c>
      <c r="P95" s="95" t="e">
        <f t="shared" si="10"/>
        <v>#DIV/0!</v>
      </c>
    </row>
    <row r="96" spans="1:16" ht="27" customHeight="1">
      <c r="A96" s="197"/>
      <c r="B96" s="251" t="s">
        <v>435</v>
      </c>
      <c r="C96" s="252"/>
      <c r="D96" s="253"/>
      <c r="E96" s="18"/>
      <c r="F96" s="18"/>
      <c r="G96" s="18"/>
      <c r="H96" s="18"/>
      <c r="I96" s="18"/>
      <c r="J96" s="18"/>
      <c r="K96" s="18"/>
      <c r="L96" s="18">
        <v>4</v>
      </c>
      <c r="M96" s="14">
        <f t="shared" si="7"/>
        <v>0</v>
      </c>
      <c r="N96" s="18">
        <f t="shared" si="8"/>
        <v>4</v>
      </c>
      <c r="O96" s="14">
        <f t="shared" si="9"/>
        <v>4</v>
      </c>
      <c r="P96" s="95" t="e">
        <f t="shared" si="10"/>
        <v>#DIV/0!</v>
      </c>
    </row>
    <row r="97" spans="1:17" ht="27" customHeight="1">
      <c r="A97" s="197"/>
      <c r="B97" s="251" t="s">
        <v>436</v>
      </c>
      <c r="C97" s="252"/>
      <c r="D97" s="253"/>
      <c r="E97" s="18"/>
      <c r="F97" s="18"/>
      <c r="G97" s="18"/>
      <c r="H97" s="18"/>
      <c r="I97" s="18"/>
      <c r="J97" s="18">
        <v>5.3</v>
      </c>
      <c r="K97" s="18"/>
      <c r="L97" s="18"/>
      <c r="M97" s="14">
        <f t="shared" si="7"/>
        <v>0</v>
      </c>
      <c r="N97" s="18">
        <f t="shared" si="8"/>
        <v>5.3</v>
      </c>
      <c r="O97" s="14">
        <f t="shared" si="9"/>
        <v>5.3</v>
      </c>
      <c r="P97" s="95" t="e">
        <f t="shared" si="10"/>
        <v>#DIV/0!</v>
      </c>
    </row>
    <row r="98" spans="1:17" ht="30.75" customHeight="1">
      <c r="A98" s="197"/>
      <c r="B98" s="251" t="s">
        <v>437</v>
      </c>
      <c r="C98" s="252"/>
      <c r="D98" s="253"/>
      <c r="E98" s="18"/>
      <c r="F98" s="18"/>
      <c r="G98" s="18"/>
      <c r="H98" s="18"/>
      <c r="I98" s="18"/>
      <c r="J98" s="18"/>
      <c r="K98" s="18"/>
      <c r="L98" s="18">
        <v>3.4</v>
      </c>
      <c r="M98" s="14">
        <f t="shared" si="7"/>
        <v>0</v>
      </c>
      <c r="N98" s="18">
        <f t="shared" si="8"/>
        <v>3.4</v>
      </c>
      <c r="O98" s="14">
        <f t="shared" si="9"/>
        <v>3.4</v>
      </c>
      <c r="P98" s="95" t="e">
        <f t="shared" si="10"/>
        <v>#DIV/0!</v>
      </c>
    </row>
    <row r="99" spans="1:17" ht="30" customHeight="1">
      <c r="A99" s="197"/>
      <c r="B99" s="251" t="s">
        <v>438</v>
      </c>
      <c r="C99" s="252"/>
      <c r="D99" s="253"/>
      <c r="E99" s="18"/>
      <c r="F99" s="18"/>
      <c r="G99" s="18"/>
      <c r="H99" s="18"/>
      <c r="I99" s="18"/>
      <c r="J99" s="18"/>
      <c r="K99" s="18"/>
      <c r="L99" s="18">
        <v>2.5</v>
      </c>
      <c r="M99" s="14">
        <f t="shared" si="7"/>
        <v>0</v>
      </c>
      <c r="N99" s="18">
        <f t="shared" si="8"/>
        <v>2.5</v>
      </c>
      <c r="O99" s="14">
        <f t="shared" si="9"/>
        <v>2.5</v>
      </c>
      <c r="P99" s="95" t="e">
        <f t="shared" si="10"/>
        <v>#DIV/0!</v>
      </c>
    </row>
    <row r="100" spans="1:17" ht="30.75" customHeight="1">
      <c r="A100" s="197"/>
      <c r="B100" s="251" t="s">
        <v>439</v>
      </c>
      <c r="C100" s="252"/>
      <c r="D100" s="253"/>
      <c r="E100" s="18"/>
      <c r="F100" s="18"/>
      <c r="G100" s="18"/>
      <c r="H100" s="18"/>
      <c r="I100" s="18"/>
      <c r="J100" s="18"/>
      <c r="K100" s="18"/>
      <c r="L100" s="18">
        <v>18.399999999999999</v>
      </c>
      <c r="M100" s="14">
        <f t="shared" si="7"/>
        <v>0</v>
      </c>
      <c r="N100" s="18">
        <f t="shared" si="8"/>
        <v>18.399999999999999</v>
      </c>
      <c r="O100" s="14">
        <f t="shared" si="9"/>
        <v>18.399999999999999</v>
      </c>
      <c r="P100" s="95" t="e">
        <f t="shared" si="10"/>
        <v>#DIV/0!</v>
      </c>
    </row>
    <row r="101" spans="1:17" ht="28.5" customHeight="1">
      <c r="A101" s="197"/>
      <c r="B101" s="251" t="s">
        <v>440</v>
      </c>
      <c r="C101" s="252"/>
      <c r="D101" s="253"/>
      <c r="E101" s="18"/>
      <c r="F101" s="18"/>
      <c r="G101" s="18"/>
      <c r="H101" s="18"/>
      <c r="I101" s="18"/>
      <c r="J101" s="18"/>
      <c r="K101" s="18"/>
      <c r="L101" s="18">
        <v>1.4</v>
      </c>
      <c r="M101" s="14">
        <f t="shared" si="7"/>
        <v>0</v>
      </c>
      <c r="N101" s="18">
        <f t="shared" si="8"/>
        <v>1.4</v>
      </c>
      <c r="O101" s="14">
        <f t="shared" si="9"/>
        <v>1.4</v>
      </c>
      <c r="P101" s="95" t="e">
        <f t="shared" si="10"/>
        <v>#DIV/0!</v>
      </c>
    </row>
    <row r="102" spans="1:17" ht="29.25" customHeight="1">
      <c r="A102" s="197"/>
      <c r="B102" s="251" t="s">
        <v>441</v>
      </c>
      <c r="C102" s="252"/>
      <c r="D102" s="253"/>
      <c r="E102" s="18"/>
      <c r="F102" s="18"/>
      <c r="G102" s="18"/>
      <c r="H102" s="18"/>
      <c r="I102" s="18"/>
      <c r="J102" s="18"/>
      <c r="K102" s="18"/>
      <c r="L102" s="18">
        <v>13.2</v>
      </c>
      <c r="M102" s="14">
        <f t="shared" si="7"/>
        <v>0</v>
      </c>
      <c r="N102" s="18">
        <f t="shared" si="8"/>
        <v>13.2</v>
      </c>
      <c r="O102" s="14">
        <f t="shared" si="9"/>
        <v>13.2</v>
      </c>
      <c r="P102" s="95" t="e">
        <f t="shared" si="10"/>
        <v>#DIV/0!</v>
      </c>
    </row>
    <row r="103" spans="1:17" ht="29.25" customHeight="1">
      <c r="A103" s="197"/>
      <c r="B103" s="251" t="s">
        <v>442</v>
      </c>
      <c r="C103" s="252"/>
      <c r="D103" s="253"/>
      <c r="E103" s="18"/>
      <c r="F103" s="18"/>
      <c r="G103" s="18"/>
      <c r="H103" s="18"/>
      <c r="I103" s="18"/>
      <c r="J103" s="18"/>
      <c r="K103" s="18"/>
      <c r="L103" s="18">
        <v>13.4</v>
      </c>
      <c r="M103" s="14">
        <f t="shared" si="7"/>
        <v>0</v>
      </c>
      <c r="N103" s="18">
        <f t="shared" si="8"/>
        <v>13.4</v>
      </c>
      <c r="O103" s="14">
        <f t="shared" si="9"/>
        <v>13.4</v>
      </c>
      <c r="P103" s="95" t="e">
        <f t="shared" si="10"/>
        <v>#DIV/0!</v>
      </c>
    </row>
    <row r="104" spans="1:17" ht="29.25" customHeight="1">
      <c r="A104" s="197"/>
      <c r="B104" s="251" t="s">
        <v>443</v>
      </c>
      <c r="C104" s="252"/>
      <c r="D104" s="253"/>
      <c r="E104" s="18"/>
      <c r="F104" s="18"/>
      <c r="G104" s="18"/>
      <c r="H104" s="18"/>
      <c r="I104" s="18"/>
      <c r="J104" s="18">
        <v>16</v>
      </c>
      <c r="K104" s="18"/>
      <c r="L104" s="18"/>
      <c r="M104" s="14">
        <f t="shared" si="7"/>
        <v>0</v>
      </c>
      <c r="N104" s="18">
        <f t="shared" si="8"/>
        <v>16</v>
      </c>
      <c r="O104" s="14">
        <f t="shared" si="9"/>
        <v>16</v>
      </c>
      <c r="P104" s="95" t="e">
        <f t="shared" si="10"/>
        <v>#DIV/0!</v>
      </c>
    </row>
    <row r="105" spans="1:17" ht="26.25" customHeight="1">
      <c r="A105" s="197"/>
      <c r="B105" s="251" t="s">
        <v>474</v>
      </c>
      <c r="C105" s="252"/>
      <c r="D105" s="253"/>
      <c r="E105" s="18"/>
      <c r="F105" s="18"/>
      <c r="G105" s="18"/>
      <c r="H105" s="18">
        <v>287.60000000000002</v>
      </c>
      <c r="I105" s="18"/>
      <c r="J105" s="18"/>
      <c r="K105" s="18"/>
      <c r="L105" s="18"/>
      <c r="M105" s="14">
        <f t="shared" si="7"/>
        <v>0</v>
      </c>
      <c r="N105" s="18">
        <f t="shared" si="8"/>
        <v>287.60000000000002</v>
      </c>
      <c r="O105" s="14">
        <f t="shared" si="9"/>
        <v>287.60000000000002</v>
      </c>
      <c r="P105" s="95" t="e">
        <f t="shared" si="10"/>
        <v>#DIV/0!</v>
      </c>
      <c r="Q105" s="1" t="s">
        <v>482</v>
      </c>
    </row>
    <row r="106" spans="1:17" ht="28.5" customHeight="1">
      <c r="A106" s="197"/>
      <c r="B106" s="251" t="s">
        <v>475</v>
      </c>
      <c r="C106" s="252"/>
      <c r="D106" s="253"/>
      <c r="E106" s="18"/>
      <c r="F106" s="18"/>
      <c r="G106" s="18"/>
      <c r="H106" s="18">
        <v>185.5</v>
      </c>
      <c r="I106" s="18"/>
      <c r="J106" s="18"/>
      <c r="K106" s="18"/>
      <c r="L106" s="18"/>
      <c r="M106" s="14">
        <f t="shared" si="7"/>
        <v>0</v>
      </c>
      <c r="N106" s="18">
        <f t="shared" si="8"/>
        <v>185.5</v>
      </c>
      <c r="O106" s="14">
        <f t="shared" si="9"/>
        <v>185.5</v>
      </c>
      <c r="P106" s="95" t="e">
        <f t="shared" si="10"/>
        <v>#DIV/0!</v>
      </c>
    </row>
    <row r="107" spans="1:17" ht="38.25" customHeight="1">
      <c r="A107" s="197"/>
      <c r="B107" s="248" t="s">
        <v>476</v>
      </c>
      <c r="C107" s="249"/>
      <c r="D107" s="250"/>
      <c r="E107" s="18"/>
      <c r="F107" s="18"/>
      <c r="G107" s="18"/>
      <c r="H107" s="18">
        <v>144.30000000000001</v>
      </c>
      <c r="I107" s="18"/>
      <c r="J107" s="18"/>
      <c r="K107" s="18"/>
      <c r="L107" s="18"/>
      <c r="M107" s="14">
        <f t="shared" si="7"/>
        <v>0</v>
      </c>
      <c r="N107" s="18">
        <f t="shared" si="8"/>
        <v>144.30000000000001</v>
      </c>
      <c r="O107" s="14">
        <f t="shared" si="9"/>
        <v>144.30000000000001</v>
      </c>
      <c r="P107" s="95" t="e">
        <f t="shared" si="10"/>
        <v>#DIV/0!</v>
      </c>
    </row>
    <row r="108" spans="1:17" ht="58.5" customHeight="1">
      <c r="A108" s="197"/>
      <c r="B108" s="248" t="s">
        <v>477</v>
      </c>
      <c r="C108" s="249"/>
      <c r="D108" s="250"/>
      <c r="E108" s="18"/>
      <c r="F108" s="18"/>
      <c r="G108" s="18"/>
      <c r="H108" s="18">
        <v>226.1</v>
      </c>
      <c r="I108" s="18"/>
      <c r="J108" s="18"/>
      <c r="K108" s="18"/>
      <c r="L108" s="18"/>
      <c r="M108" s="14">
        <f t="shared" si="7"/>
        <v>0</v>
      </c>
      <c r="N108" s="18">
        <f t="shared" si="8"/>
        <v>226.1</v>
      </c>
      <c r="O108" s="14">
        <f t="shared" si="9"/>
        <v>226.1</v>
      </c>
      <c r="P108" s="95" t="e">
        <f t="shared" si="10"/>
        <v>#DIV/0!</v>
      </c>
    </row>
    <row r="109" spans="1:17" ht="48.75" customHeight="1">
      <c r="A109" s="197"/>
      <c r="B109" s="248" t="s">
        <v>478</v>
      </c>
      <c r="C109" s="249"/>
      <c r="D109" s="250"/>
      <c r="E109" s="18"/>
      <c r="F109" s="18"/>
      <c r="G109" s="18"/>
      <c r="H109" s="18">
        <v>51</v>
      </c>
      <c r="I109" s="18"/>
      <c r="J109" s="18"/>
      <c r="K109" s="18"/>
      <c r="L109" s="18"/>
      <c r="M109" s="14">
        <f t="shared" si="7"/>
        <v>0</v>
      </c>
      <c r="N109" s="18">
        <f t="shared" si="8"/>
        <v>51</v>
      </c>
      <c r="O109" s="14">
        <f t="shared" si="9"/>
        <v>51</v>
      </c>
      <c r="P109" s="95" t="e">
        <f t="shared" si="10"/>
        <v>#DIV/0!</v>
      </c>
    </row>
    <row r="110" spans="1:17" ht="32.25" customHeight="1">
      <c r="A110" s="197"/>
      <c r="B110" s="248" t="s">
        <v>479</v>
      </c>
      <c r="C110" s="249"/>
      <c r="D110" s="250"/>
      <c r="E110" s="18"/>
      <c r="F110" s="18"/>
      <c r="G110" s="18"/>
      <c r="H110" s="18">
        <v>44.4</v>
      </c>
      <c r="I110" s="18"/>
      <c r="J110" s="18"/>
      <c r="K110" s="18"/>
      <c r="L110" s="18"/>
      <c r="M110" s="14">
        <f t="shared" si="7"/>
        <v>0</v>
      </c>
      <c r="N110" s="18">
        <f t="shared" si="8"/>
        <v>44.4</v>
      </c>
      <c r="O110" s="14">
        <f t="shared" si="9"/>
        <v>44.4</v>
      </c>
      <c r="P110" s="95" t="e">
        <f t="shared" si="10"/>
        <v>#DIV/0!</v>
      </c>
    </row>
    <row r="111" spans="1:17" ht="32.25" customHeight="1">
      <c r="A111" s="197"/>
      <c r="B111" s="251" t="s">
        <v>444</v>
      </c>
      <c r="C111" s="252"/>
      <c r="D111" s="253"/>
      <c r="E111" s="18"/>
      <c r="F111" s="18"/>
      <c r="G111" s="18"/>
      <c r="H111" s="18">
        <v>8.1</v>
      </c>
      <c r="I111" s="18"/>
      <c r="J111" s="18"/>
      <c r="K111" s="18"/>
      <c r="L111" s="18"/>
      <c r="M111" s="14">
        <f t="shared" si="7"/>
        <v>0</v>
      </c>
      <c r="N111" s="18">
        <f t="shared" si="8"/>
        <v>8.1</v>
      </c>
      <c r="O111" s="14">
        <f t="shared" si="9"/>
        <v>8.1</v>
      </c>
      <c r="P111" s="95" t="e">
        <f t="shared" si="10"/>
        <v>#DIV/0!</v>
      </c>
    </row>
    <row r="112" spans="1:17" ht="32.25" customHeight="1">
      <c r="A112" s="197"/>
      <c r="B112" s="251" t="s">
        <v>445</v>
      </c>
      <c r="C112" s="252"/>
      <c r="D112" s="253"/>
      <c r="E112" s="18"/>
      <c r="F112" s="18"/>
      <c r="G112" s="18"/>
      <c r="H112" s="18">
        <v>2</v>
      </c>
      <c r="I112" s="18"/>
      <c r="J112" s="18"/>
      <c r="K112" s="18"/>
      <c r="L112" s="18"/>
      <c r="M112" s="14">
        <f t="shared" si="7"/>
        <v>0</v>
      </c>
      <c r="N112" s="18">
        <f t="shared" si="8"/>
        <v>2</v>
      </c>
      <c r="O112" s="14">
        <f t="shared" si="9"/>
        <v>2</v>
      </c>
      <c r="P112" s="95" t="e">
        <f t="shared" si="10"/>
        <v>#DIV/0!</v>
      </c>
    </row>
    <row r="113" spans="1:16" s="11" customFormat="1" ht="66" customHeight="1">
      <c r="A113" s="197" t="s">
        <v>104</v>
      </c>
      <c r="B113" s="267" t="s">
        <v>486</v>
      </c>
      <c r="C113" s="268" t="s">
        <v>63</v>
      </c>
      <c r="D113" s="269" t="s">
        <v>63</v>
      </c>
      <c r="E113" s="14"/>
      <c r="F113" s="14"/>
      <c r="G113" s="14">
        <f>G114+G115</f>
        <v>2589.1999999999998</v>
      </c>
      <c r="H113" s="14">
        <f>H114+H115</f>
        <v>2478.9</v>
      </c>
      <c r="I113" s="14">
        <f t="shared" ref="I113:L113" si="11">I114+I115</f>
        <v>0</v>
      </c>
      <c r="J113" s="14">
        <f t="shared" si="11"/>
        <v>0</v>
      </c>
      <c r="K113" s="14">
        <f t="shared" si="11"/>
        <v>0</v>
      </c>
      <c r="L113" s="14">
        <f t="shared" si="11"/>
        <v>68</v>
      </c>
      <c r="M113" s="14">
        <f t="shared" si="7"/>
        <v>2589.1999999999998</v>
      </c>
      <c r="N113" s="14">
        <f t="shared" si="8"/>
        <v>2546.9</v>
      </c>
      <c r="O113" s="14">
        <f t="shared" si="9"/>
        <v>-42.299999999999727</v>
      </c>
      <c r="P113" s="95">
        <f t="shared" si="10"/>
        <v>98.366290746176432</v>
      </c>
    </row>
    <row r="114" spans="1:16" ht="100.5" customHeight="1">
      <c r="A114" s="197"/>
      <c r="B114" s="248" t="s">
        <v>338</v>
      </c>
      <c r="C114" s="249"/>
      <c r="D114" s="250"/>
      <c r="E114" s="18"/>
      <c r="F114" s="18">
        <f>+I114+K114+M114</f>
        <v>2589.1999999999998</v>
      </c>
      <c r="G114" s="18">
        <v>2589.1999999999998</v>
      </c>
      <c r="H114" s="18">
        <f>1565.9+913</f>
        <v>2478.9</v>
      </c>
      <c r="I114" s="18"/>
      <c r="J114" s="18"/>
      <c r="K114" s="18"/>
      <c r="L114" s="18"/>
      <c r="M114" s="18">
        <f t="shared" si="7"/>
        <v>2589.1999999999998</v>
      </c>
      <c r="N114" s="18">
        <f t="shared" si="8"/>
        <v>5068.1000000000004</v>
      </c>
      <c r="O114" s="14">
        <f t="shared" si="9"/>
        <v>2478.9000000000005</v>
      </c>
      <c r="P114" s="95">
        <f t="shared" si="10"/>
        <v>195.73999691024258</v>
      </c>
    </row>
    <row r="115" spans="1:16" ht="151.5" customHeight="1">
      <c r="A115" s="197"/>
      <c r="B115" s="248" t="s">
        <v>336</v>
      </c>
      <c r="C115" s="249"/>
      <c r="D115" s="250"/>
      <c r="E115" s="18"/>
      <c r="F115" s="18"/>
      <c r="G115" s="18"/>
      <c r="H115" s="18"/>
      <c r="I115" s="18"/>
      <c r="J115" s="18"/>
      <c r="K115" s="15"/>
      <c r="L115" s="15">
        <f>68</f>
        <v>68</v>
      </c>
      <c r="M115" s="18">
        <f t="shared" si="7"/>
        <v>0</v>
      </c>
      <c r="N115" s="18">
        <f t="shared" si="8"/>
        <v>68</v>
      </c>
      <c r="O115" s="14">
        <f t="shared" si="9"/>
        <v>68</v>
      </c>
      <c r="P115" s="95" t="e">
        <f t="shared" si="10"/>
        <v>#DIV/0!</v>
      </c>
    </row>
    <row r="116" spans="1:16" ht="31.5" customHeight="1">
      <c r="A116" s="197" t="s">
        <v>349</v>
      </c>
      <c r="B116" s="267" t="s">
        <v>245</v>
      </c>
      <c r="C116" s="268"/>
      <c r="D116" s="269"/>
      <c r="E116" s="270">
        <f t="shared" ref="E116:L116" si="12">SUM(E117:E120)</f>
        <v>0</v>
      </c>
      <c r="F116" s="270">
        <f t="shared" si="12"/>
        <v>0</v>
      </c>
      <c r="G116" s="270">
        <f t="shared" si="12"/>
        <v>0</v>
      </c>
      <c r="H116" s="270">
        <f t="shared" si="12"/>
        <v>11914.2</v>
      </c>
      <c r="I116" s="270">
        <f t="shared" si="12"/>
        <v>0</v>
      </c>
      <c r="J116" s="270">
        <f t="shared" si="12"/>
        <v>18.399999999999999</v>
      </c>
      <c r="K116" s="270">
        <f t="shared" si="12"/>
        <v>0</v>
      </c>
      <c r="L116" s="270">
        <f t="shared" si="12"/>
        <v>695</v>
      </c>
      <c r="M116" s="270">
        <f t="shared" si="7"/>
        <v>0</v>
      </c>
      <c r="N116" s="270">
        <f t="shared" si="8"/>
        <v>12627.6</v>
      </c>
      <c r="O116" s="270">
        <f t="shared" si="9"/>
        <v>12627.6</v>
      </c>
      <c r="P116" s="271" t="e">
        <f t="shared" si="10"/>
        <v>#DIV/0!</v>
      </c>
    </row>
    <row r="117" spans="1:16" ht="96" customHeight="1">
      <c r="A117" s="96"/>
      <c r="B117" s="248" t="s">
        <v>218</v>
      </c>
      <c r="C117" s="249"/>
      <c r="D117" s="250"/>
      <c r="E117" s="18"/>
      <c r="F117" s="18"/>
      <c r="G117" s="14"/>
      <c r="H117" s="18">
        <f>4495.7+2376.4</f>
        <v>6872.1</v>
      </c>
      <c r="I117" s="18"/>
      <c r="J117" s="18"/>
      <c r="K117" s="18"/>
      <c r="L117" s="18"/>
      <c r="M117" s="18">
        <f t="shared" si="7"/>
        <v>0</v>
      </c>
      <c r="N117" s="18">
        <f t="shared" si="8"/>
        <v>6872.1</v>
      </c>
      <c r="O117" s="14">
        <f t="shared" si="9"/>
        <v>6872.1</v>
      </c>
      <c r="P117" s="18" t="e">
        <f t="shared" si="10"/>
        <v>#DIV/0!</v>
      </c>
    </row>
    <row r="118" spans="1:16" ht="116.25" customHeight="1">
      <c r="A118" s="96"/>
      <c r="B118" s="248" t="s">
        <v>271</v>
      </c>
      <c r="C118" s="249"/>
      <c r="D118" s="250"/>
      <c r="E118" s="18"/>
      <c r="F118" s="18"/>
      <c r="G118" s="14"/>
      <c r="H118" s="18">
        <f>4396.5+295.6</f>
        <v>4692.1000000000004</v>
      </c>
      <c r="I118" s="18"/>
      <c r="J118" s="18"/>
      <c r="K118" s="18"/>
      <c r="L118" s="18"/>
      <c r="M118" s="18">
        <f t="shared" si="7"/>
        <v>0</v>
      </c>
      <c r="N118" s="18">
        <f t="shared" si="8"/>
        <v>4692.1000000000004</v>
      </c>
      <c r="O118" s="14">
        <f t="shared" si="9"/>
        <v>4692.1000000000004</v>
      </c>
      <c r="P118" s="18" t="e">
        <f t="shared" si="10"/>
        <v>#DIV/0!</v>
      </c>
    </row>
    <row r="119" spans="1:16" ht="117.75" customHeight="1">
      <c r="A119" s="96"/>
      <c r="B119" s="272" t="s">
        <v>483</v>
      </c>
      <c r="C119" s="273"/>
      <c r="D119" s="274"/>
      <c r="E119" s="18"/>
      <c r="F119" s="18"/>
      <c r="G119" s="18"/>
      <c r="H119" s="18">
        <v>350</v>
      </c>
      <c r="I119" s="18"/>
      <c r="J119" s="18"/>
      <c r="K119" s="15"/>
      <c r="L119" s="15"/>
      <c r="M119" s="18">
        <f t="shared" ref="M119:M120" si="13">E119+G119+I119+K119</f>
        <v>0</v>
      </c>
      <c r="N119" s="18">
        <f t="shared" ref="N119:N120" si="14">F119+H119+J119+L119</f>
        <v>350</v>
      </c>
      <c r="O119" s="18">
        <f t="shared" ref="O119:O120" si="15">N119-M119</f>
        <v>350</v>
      </c>
      <c r="P119" s="18" t="e">
        <f t="shared" ref="P119:P120" si="16">(N119/M119)*100</f>
        <v>#DIV/0!</v>
      </c>
    </row>
    <row r="120" spans="1:16" ht="238.5" customHeight="1">
      <c r="A120" s="96"/>
      <c r="B120" s="248" t="s">
        <v>337</v>
      </c>
      <c r="C120" s="249"/>
      <c r="D120" s="250"/>
      <c r="E120" s="18"/>
      <c r="F120" s="18"/>
      <c r="G120" s="18"/>
      <c r="H120" s="18"/>
      <c r="I120" s="18"/>
      <c r="J120" s="18">
        <f>18.4</f>
        <v>18.399999999999999</v>
      </c>
      <c r="K120" s="15"/>
      <c r="L120" s="15">
        <f>65.5+629.5</f>
        <v>695</v>
      </c>
      <c r="M120" s="18">
        <f t="shared" si="13"/>
        <v>0</v>
      </c>
      <c r="N120" s="18">
        <f t="shared" si="14"/>
        <v>713.4</v>
      </c>
      <c r="O120" s="18">
        <f t="shared" si="15"/>
        <v>713.4</v>
      </c>
      <c r="P120" s="18" t="e">
        <f t="shared" si="16"/>
        <v>#DIV/0!</v>
      </c>
    </row>
    <row r="121" spans="1:16" ht="40.5" customHeight="1">
      <c r="A121" s="254" t="s">
        <v>9</v>
      </c>
      <c r="B121" s="255"/>
      <c r="C121" s="255"/>
      <c r="D121" s="255"/>
      <c r="E121" s="97">
        <f>E7+E42</f>
        <v>0</v>
      </c>
      <c r="F121" s="97">
        <f>F7+F42</f>
        <v>0</v>
      </c>
      <c r="G121" s="97">
        <f t="shared" ref="G121:O121" si="17">G7+G42+G116+G113</f>
        <v>4499.2</v>
      </c>
      <c r="H121" s="97">
        <f t="shared" si="17"/>
        <v>17590.600000000002</v>
      </c>
      <c r="I121" s="97">
        <f t="shared" si="17"/>
        <v>0</v>
      </c>
      <c r="J121" s="97">
        <f t="shared" si="17"/>
        <v>382.19999999999993</v>
      </c>
      <c r="K121" s="97">
        <f t="shared" si="17"/>
        <v>0</v>
      </c>
      <c r="L121" s="97">
        <f t="shared" si="17"/>
        <v>6704.0999999999985</v>
      </c>
      <c r="M121" s="97">
        <f t="shared" si="17"/>
        <v>4499.2</v>
      </c>
      <c r="N121" s="97">
        <f t="shared" si="17"/>
        <v>24676.9</v>
      </c>
      <c r="O121" s="97">
        <f t="shared" si="17"/>
        <v>20177.7</v>
      </c>
      <c r="P121" s="97">
        <f>(N121/M121)*100</f>
        <v>548.47306187766719</v>
      </c>
    </row>
    <row r="122" spans="1:16" ht="20.100000000000001" customHeight="1">
      <c r="A122" s="98"/>
      <c r="B122" s="98"/>
      <c r="C122" s="99"/>
      <c r="D122" s="99"/>
      <c r="E122" s="99"/>
      <c r="F122" s="99"/>
      <c r="G122" s="99"/>
      <c r="H122" s="99"/>
      <c r="I122" s="99"/>
      <c r="J122" s="98"/>
      <c r="K122" s="99"/>
      <c r="L122" s="98"/>
    </row>
    <row r="123" spans="1:16" ht="6.75" customHeight="1">
      <c r="A123" s="100"/>
      <c r="B123" s="100"/>
      <c r="C123" s="101"/>
      <c r="D123" s="101"/>
      <c r="E123" s="101"/>
      <c r="F123" s="101"/>
      <c r="G123" s="101"/>
      <c r="H123" s="101"/>
      <c r="I123" s="101"/>
      <c r="J123" s="101"/>
    </row>
    <row r="124" spans="1:16" ht="18" hidden="1" customHeight="1">
      <c r="A124" s="100"/>
      <c r="B124" s="100"/>
      <c r="C124" s="101"/>
      <c r="D124" s="101"/>
      <c r="E124" s="101"/>
      <c r="F124" s="101"/>
      <c r="G124" s="101"/>
      <c r="H124" s="101"/>
      <c r="I124" s="101"/>
      <c r="J124" s="101"/>
    </row>
    <row r="125" spans="1:16" s="209" customFormat="1" ht="19.5" hidden="1" customHeight="1">
      <c r="C125" s="9"/>
      <c r="D125" s="9"/>
      <c r="E125" s="9"/>
      <c r="F125" s="9"/>
      <c r="N125" s="184"/>
      <c r="O125" s="184"/>
    </row>
    <row r="126" spans="1:16" s="10" customFormat="1" ht="32.25" customHeight="1">
      <c r="B126" s="258" t="s">
        <v>212</v>
      </c>
      <c r="C126" s="259"/>
      <c r="D126" s="259"/>
      <c r="E126" s="208"/>
      <c r="F126" s="208"/>
      <c r="G126" s="260"/>
      <c r="H126" s="260"/>
      <c r="I126" s="260"/>
      <c r="J126" s="102"/>
      <c r="K126" s="234" t="s">
        <v>184</v>
      </c>
      <c r="L126" s="234"/>
      <c r="M126" s="234"/>
      <c r="N126" s="185"/>
      <c r="O126" s="185"/>
    </row>
    <row r="127" spans="1:16" s="209" customFormat="1" ht="19.5" customHeight="1">
      <c r="B127" s="261" t="s">
        <v>10</v>
      </c>
      <c r="C127" s="261"/>
      <c r="D127" s="261"/>
      <c r="E127" s="103"/>
      <c r="F127" s="103"/>
      <c r="G127" s="104"/>
      <c r="H127" s="105" t="s">
        <v>11</v>
      </c>
      <c r="I127" s="104"/>
      <c r="J127" s="103"/>
      <c r="K127" s="261" t="s">
        <v>17</v>
      </c>
      <c r="L127" s="261"/>
      <c r="M127" s="261"/>
      <c r="N127" s="184"/>
      <c r="O127" s="184"/>
    </row>
    <row r="128" spans="1:16" ht="20.100000000000001" customHeight="1">
      <c r="B128" s="106"/>
      <c r="C128" s="106"/>
      <c r="D128" s="106"/>
      <c r="E128" s="107"/>
      <c r="F128" s="107"/>
      <c r="G128" s="107"/>
      <c r="H128" s="107"/>
      <c r="I128" s="107"/>
      <c r="J128" s="107"/>
    </row>
    <row r="129" spans="1:10" ht="20.100000000000001" customHeight="1">
      <c r="B129" s="106"/>
      <c r="C129" s="106"/>
      <c r="D129" s="106"/>
      <c r="E129" s="106"/>
      <c r="F129" s="106"/>
      <c r="G129" s="106"/>
      <c r="H129" s="106"/>
      <c r="I129" s="106"/>
      <c r="J129" s="106"/>
    </row>
    <row r="130" spans="1:10">
      <c r="B130" s="106"/>
      <c r="C130" s="106"/>
      <c r="D130" s="106"/>
      <c r="E130" s="106"/>
      <c r="F130" s="106"/>
      <c r="G130" s="106"/>
      <c r="H130" s="106"/>
      <c r="I130" s="106"/>
      <c r="J130" s="106"/>
    </row>
    <row r="131" spans="1:10" s="257" customFormat="1" ht="19.149999999999999" customHeight="1">
      <c r="A131" s="256" t="s">
        <v>52</v>
      </c>
    </row>
    <row r="134" spans="1:10">
      <c r="B134" s="11"/>
    </row>
    <row r="135" spans="1:10">
      <c r="B135" s="11"/>
    </row>
    <row r="136" spans="1:10">
      <c r="B136" s="11"/>
    </row>
    <row r="137" spans="1:10">
      <c r="B137" s="11"/>
    </row>
    <row r="138" spans="1:10">
      <c r="B138" s="11"/>
    </row>
    <row r="139" spans="1:10">
      <c r="B139" s="11"/>
    </row>
    <row r="140" spans="1:10">
      <c r="B140" s="11"/>
    </row>
  </sheetData>
  <mergeCells count="128">
    <mergeCell ref="B86:D86"/>
    <mergeCell ref="B87:D87"/>
    <mergeCell ref="B88:D88"/>
    <mergeCell ref="B90:D90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64:D64"/>
    <mergeCell ref="B65:D65"/>
    <mergeCell ref="B66:D66"/>
    <mergeCell ref="B67:D67"/>
    <mergeCell ref="B17:D17"/>
    <mergeCell ref="B18:D18"/>
    <mergeCell ref="B19:D19"/>
    <mergeCell ref="B20:D20"/>
    <mergeCell ref="D2:M2"/>
    <mergeCell ref="M4:P4"/>
    <mergeCell ref="G4:H4"/>
    <mergeCell ref="K4:L4"/>
    <mergeCell ref="I4:J4"/>
    <mergeCell ref="E4:F4"/>
    <mergeCell ref="B21:D21"/>
    <mergeCell ref="B22:D22"/>
    <mergeCell ref="B23:D23"/>
    <mergeCell ref="B24:D24"/>
    <mergeCell ref="B25:D25"/>
    <mergeCell ref="B26:D26"/>
    <mergeCell ref="B27:D27"/>
    <mergeCell ref="B28:D28"/>
    <mergeCell ref="B45:D45"/>
    <mergeCell ref="B55:D55"/>
    <mergeCell ref="B59:D59"/>
    <mergeCell ref="B60:D60"/>
    <mergeCell ref="B61:D61"/>
    <mergeCell ref="B62:D62"/>
    <mergeCell ref="B63:D63"/>
    <mergeCell ref="B56:D56"/>
    <mergeCell ref="B57:D57"/>
    <mergeCell ref="B58:D58"/>
    <mergeCell ref="B53:D53"/>
    <mergeCell ref="B54:D54"/>
    <mergeCell ref="A4:A5"/>
    <mergeCell ref="B7:D7"/>
    <mergeCell ref="B42:D42"/>
    <mergeCell ref="B6:D6"/>
    <mergeCell ref="B4:D5"/>
    <mergeCell ref="B8:D8"/>
    <mergeCell ref="B12:D12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A121:D121"/>
    <mergeCell ref="B120:D120"/>
    <mergeCell ref="A131:XFD131"/>
    <mergeCell ref="B126:D126"/>
    <mergeCell ref="G126:I126"/>
    <mergeCell ref="K126:M126"/>
    <mergeCell ref="K127:M127"/>
    <mergeCell ref="B127:D127"/>
    <mergeCell ref="B119:D119"/>
    <mergeCell ref="B118:D118"/>
    <mergeCell ref="B116:D116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11:D111"/>
    <mergeCell ref="B112:D112"/>
    <mergeCell ref="B106:D106"/>
    <mergeCell ref="B107:D107"/>
    <mergeCell ref="B108:D108"/>
    <mergeCell ref="B109:D109"/>
    <mergeCell ref="B103:D103"/>
    <mergeCell ref="B104:D104"/>
    <mergeCell ref="B105:D105"/>
    <mergeCell ref="B102:D102"/>
    <mergeCell ref="B100:D100"/>
    <mergeCell ref="B101:D101"/>
    <mergeCell ref="B9:D9"/>
    <mergeCell ref="B10:D10"/>
    <mergeCell ref="B11:D11"/>
    <mergeCell ref="B110:D110"/>
    <mergeCell ref="B89:D89"/>
    <mergeCell ref="B113:D113"/>
    <mergeCell ref="B114:D114"/>
    <mergeCell ref="B115:D115"/>
    <mergeCell ref="B117:D117"/>
    <mergeCell ref="B38:D38"/>
    <mergeCell ref="B39:D39"/>
    <mergeCell ref="B40:D40"/>
    <mergeCell ref="B41:D41"/>
    <mergeCell ref="B13:D13"/>
    <mergeCell ref="B14:D14"/>
    <mergeCell ref="B15:D15"/>
    <mergeCell ref="B16:D16"/>
    <mergeCell ref="B46:D46"/>
    <mergeCell ref="B50:D50"/>
    <mergeCell ref="B47:D47"/>
    <mergeCell ref="B48:D48"/>
    <mergeCell ref="B49:D49"/>
    <mergeCell ref="B51:D51"/>
    <mergeCell ref="B52:D52"/>
  </mergeCells>
  <phoneticPr fontId="5" type="noConversion"/>
  <hyperlinks>
    <hyperlink ref="B117" r:id="rId1" display="https://www.dzo.com.ua/tenders/20078403"/>
    <hyperlink ref="B119" r:id="rId2" display="https://www.dzo.com.ua/tenders/20078403"/>
  </hyperlinks>
  <pageMargins left="0.39370078740157483" right="0.39370078740157483" top="0.78740157480314965" bottom="0.39370078740157483" header="0.19685039370078741" footer="0.31496062992125984"/>
  <pageSetup paperSize="9" scale="48" fitToHeight="6" orientation="landscape" verticalDpi="1200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10</vt:i4>
      </vt:variant>
    </vt:vector>
  </HeadingPairs>
  <TitlesOfParts>
    <vt:vector size="15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2025-02-04T13:46:16Z</cp:lastPrinted>
  <dcterms:created xsi:type="dcterms:W3CDTF">2003-03-13T16:00:22Z</dcterms:created>
  <dcterms:modified xsi:type="dcterms:W3CDTF">2025-02-04T13:46:24Z</dcterms:modified>
</cp:coreProperties>
</file>